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500" activeTab="1"/>
  </bookViews>
  <sheets>
    <sheet name="ORÇAMENTARIA GERAL" sheetId="1" r:id="rId1"/>
    <sheet name="CRONOGRAMA" sheetId="2" r:id="rId2"/>
    <sheet name="BDI TCU 2622 - EDIF 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fn.AVERAGEIF" hidden="1">#NAME?</definedName>
    <definedName name="_xlnm.Print_Area" localSheetId="2">'BDI TCU 2622 - EDIF '!$B$2:$J$37</definedName>
    <definedName name="_xlnm.Print_Area" localSheetId="0">'ORÇAMENTARIA GERAL'!$B$1:$I$330</definedName>
    <definedName name="Aut_original" localSheetId="2">'[1]PROJETO'!#REF!</definedName>
    <definedName name="Aut_original">'[1]PROJETO'!#REF!</definedName>
    <definedName name="Aut_resumo" localSheetId="2">'[2]RESUMO_AUT1'!#REF!</definedName>
    <definedName name="Aut_resumo">'[2]RESUMO_AUT1'!#REF!</definedName>
    <definedName name="CONS" localSheetId="2">#REF!</definedName>
    <definedName name="CONS">#REF!</definedName>
    <definedName name="CONSUMO" localSheetId="2">'[3]QuQuant'!#REF!</definedName>
    <definedName name="CONSUMO">'[3]QuQuant'!#REF!</definedName>
    <definedName name="Descricao" localSheetId="2">#REF!</definedName>
    <definedName name="Descricao">#REF!</definedName>
    <definedName name="DIMPAV" localSheetId="2">#REF!</definedName>
    <definedName name="DIMPAV">#REF!</definedName>
    <definedName name="Excel_BuiltIn_Database">#REF!</definedName>
    <definedName name="ISS">#REF!</definedName>
    <definedName name="k">#REF!</definedName>
    <definedName name="Meu" localSheetId="2">#REF!</definedName>
    <definedName name="Meu">#REF!</definedName>
    <definedName name="Print" localSheetId="2">'[4]QuQuant'!#REF!</definedName>
    <definedName name="Print">'[4]QuQuant'!#REF!</definedName>
    <definedName name="Print_Area_MI" localSheetId="2">'[5]qorcamentodnerL1'!#REF!</definedName>
    <definedName name="Print_Area_MI">'[5]qorcamentodnerL1'!#REF!</definedName>
    <definedName name="_xlnm.Print_Titles" localSheetId="0">'ORÇAMENTARIA GERAL'!$B:$I,'ORÇAMENTARIA GERAL'!$1:$13</definedName>
    <definedName name="UniformeMensageiro">#REF!</definedName>
    <definedName name="UniformeMensageiros">#REF!</definedName>
    <definedName name="UniformeRecepcionista">#REF!</definedName>
  </definedNames>
  <calcPr fullCalcOnLoad="1"/>
</workbook>
</file>

<file path=xl/sharedStrings.xml><?xml version="1.0" encoding="utf-8"?>
<sst xmlns="http://schemas.openxmlformats.org/spreadsheetml/2006/main" count="1111" uniqueCount="763">
  <si>
    <t>COBERTURA EM TELHA ONDULADA TRADICIONAL DE FIBRA VEGETAL COM BETUME ESP. = 3 MM - INCLINAÇÃO DE 10º A 15º (FIXAÇÃO EM ESTRUTURA METÁLICA) - (cobertura em arco)</t>
  </si>
  <si>
    <t>DEOP-000-002</t>
  </si>
  <si>
    <t>PAVIMENTAÇÃO EXTERNA COMPLETA, COM LAJE DE CONCRETO DE 5 CM E CAPEAMENTO CIMENTADO DE 3 CM C/ JUNTAS DE MADEIRA, PÁTIO, AREAS EXTERNAS, RAMPA E PASSEIO PUBLICO.</t>
  </si>
  <si>
    <t>HID-GRE-011</t>
  </si>
  <si>
    <t>GRELHA DE FERRO FUNDIDO 30 X 30 CM.</t>
  </si>
  <si>
    <t>CONVENENTE: PREFEITURA MUNICIPAL DE LAGOA SANTA</t>
  </si>
  <si>
    <t>FOLHA Nº: 01</t>
  </si>
  <si>
    <t>DATA: 15/05/18</t>
  </si>
  <si>
    <t xml:space="preserve">FORMA DE EXECUÇÃO: </t>
  </si>
  <si>
    <t>REGIÃO/MÊS DE REFERÊNCIA: SINAPI/FEV - SUDECAP/MAR - SETOP/JUL - 2018 DESONERADA</t>
  </si>
  <si>
    <t>(    ) DIRETA</t>
  </si>
  <si>
    <t>( x  )INDIRETA</t>
  </si>
  <si>
    <t>BDI</t>
  </si>
  <si>
    <t>ESCOLA DONA MARIA AUGUSTA</t>
  </si>
  <si>
    <t>Quadra coberta com vestiário - 110V com blocos</t>
  </si>
  <si>
    <t>ITEM</t>
  </si>
  <si>
    <t>CÓDIGO</t>
  </si>
  <si>
    <t>DESCRIÇÃO</t>
  </si>
  <si>
    <t>UNIDADE</t>
  </si>
  <si>
    <t>QUANTIDADE</t>
  </si>
  <si>
    <t>PREÇO UNITÁRIO S/ BDI</t>
  </si>
  <si>
    <t>PREÇO UNITÁRIO C/ BDI</t>
  </si>
  <si>
    <t>PREÇO TOTAL</t>
  </si>
  <si>
    <t>SERVIÇOS PRELIMINARES</t>
  </si>
  <si>
    <t>1.1</t>
  </si>
  <si>
    <t xml:space="preserve">74209/001 </t>
  </si>
  <si>
    <t xml:space="preserve">PLACA DE OBRA EM CHAPA DE ACO GALVANIZADO </t>
  </si>
  <si>
    <t>m²</t>
  </si>
  <si>
    <t>1.2</t>
  </si>
  <si>
    <t>1.3</t>
  </si>
  <si>
    <t>ENTRADA DE ENERGIA ELÉTRICA AÉREA MONOFÁSICA 50A COM POSTE DE CONCRETO, INCLUSIVE CABEAMENTO, CAIXA DE PROTEÇÃO PARA MEDIDOR E ATERRAMENTO.</t>
  </si>
  <si>
    <t>un</t>
  </si>
  <si>
    <t>1.4</t>
  </si>
  <si>
    <t>41.02.02</t>
  </si>
  <si>
    <t>INSTALACAO PROVISORIA DE ENERGIA ELETRICA</t>
  </si>
  <si>
    <t>1.5</t>
  </si>
  <si>
    <t>1.6</t>
  </si>
  <si>
    <t>IIO-LIG-015</t>
  </si>
  <si>
    <t>LIGAÇÃO PROVISÓRIA DE ÁGUA E ESGOTO</t>
  </si>
  <si>
    <t>1.7</t>
  </si>
  <si>
    <t>IIO-BAR-025</t>
  </si>
  <si>
    <t>BARRACÃO INSTALAÇÃO SANITÁRIA TIPO I, A = 14,52 M2 (OBRA DE PEQUENO PORTE, EFETIVO ATÉ 30 HOMENS) - PADRÃO DEOP</t>
  </si>
  <si>
    <t>IIO-BAR-015</t>
  </si>
  <si>
    <t>BARRACÃO DEPÓSITO E FERRAMENTARIA TIPO I, A = 14,52 M2 (OBRA DE PEQUENO PORTE, EFETIVO ATÉ 30 HOMENS) - PADRÃO DEOP - 20,00m²</t>
  </si>
  <si>
    <t>LOC-OBR-005</t>
  </si>
  <si>
    <t>LOCAÇÃO DA OBRA (GABARITO)</t>
  </si>
  <si>
    <t>SPT-SON-015</t>
  </si>
  <si>
    <t xml:space="preserve">SONDAGEM A PERCUSSÃO </t>
  </si>
  <si>
    <t>m</t>
  </si>
  <si>
    <t>73822/002</t>
  </si>
  <si>
    <t>LIMPEZA MECANIZADA DE TERRENO COM REMOCAO DE CAMADA VEGETAL, UTILIZANDO MOTONIVELADORA</t>
  </si>
  <si>
    <t>MOVIMENTO DE TERRA PARA FUNDAÇÕES</t>
  </si>
  <si>
    <t>2.1</t>
  </si>
  <si>
    <t>ATERRO MANUAL DE VALAS COM SOLO ARGILO-ARENOSO E COMPACTAÇÃO MECANIZADA (entre baldrames)</t>
  </si>
  <si>
    <t>m³</t>
  </si>
  <si>
    <t>2.2</t>
  </si>
  <si>
    <t>TER-ESC-040</t>
  </si>
  <si>
    <t>2.3</t>
  </si>
  <si>
    <t>TER-REG-005</t>
  </si>
  <si>
    <t>REGULARIZAÇÃO E COMPACTAÇÃO DE TERRENO MANUAL, COM SOQUETE</t>
  </si>
  <si>
    <t>03.22.02</t>
  </si>
  <si>
    <t>REATERRO DE VALA COMPACTADO COM EQUIP. PLACA VIBRATORIA OU EQUIVALENTE</t>
  </si>
  <si>
    <t>03.15.03</t>
  </si>
  <si>
    <t>ATERRO COMPACTADO MANUAL, COM SOQUETE</t>
  </si>
  <si>
    <t>FUNDAÇÕES</t>
  </si>
  <si>
    <t>3.1</t>
  </si>
  <si>
    <t>CONCRETO ARMADO - BLOCOS</t>
  </si>
  <si>
    <t>04.04.04</t>
  </si>
  <si>
    <t xml:space="preserve">ESTACA BROCA PERFURADA A TRADO MECANIZADO, MOBILIZAÇAO E DESMOBILIZAÇAO DE EQUIPAMENTO, PERFURAÇAO D= 40 CM </t>
  </si>
  <si>
    <t>04.04.06</t>
  </si>
  <si>
    <t>ESTACA BROCA PERFURADA A TRADO MECANIZADO, MOBILIZAÇAO E DESMOBILIZAÇAO DE EQUIPAMENTO, PERFURAÇAO D= 50 CM</t>
  </si>
  <si>
    <t>FUN-LAS-005</t>
  </si>
  <si>
    <t>LASTRO DE CONCRETO MAGRO</t>
  </si>
  <si>
    <t>FUN-FOR-005</t>
  </si>
  <si>
    <t xml:space="preserve">FORMA E DESFORMA EM TÁBUAS DE PINHO (3X) </t>
  </si>
  <si>
    <t>ARM-AÇO-005</t>
  </si>
  <si>
    <t>CORTE, DOBRA E ARMAÇÃO DE AÇO CA-50 D &lt;= 12,5 MM</t>
  </si>
  <si>
    <t>kg</t>
  </si>
  <si>
    <t xml:space="preserve">CORTE, DOBRA E ARMAÇÃO DE AÇO CA-60 </t>
  </si>
  <si>
    <t>7,47</t>
  </si>
  <si>
    <t>06.09.25</t>
  </si>
  <si>
    <t>CONCRETO USINADO BOMBEADO LANÇADO EM ESTRUTURA FCK &gt;= 25,0 MPA</t>
  </si>
  <si>
    <t>3.2</t>
  </si>
  <si>
    <t>CONCRETO ARMADO - VIGAS BALDRAMES</t>
  </si>
  <si>
    <t>LASTRO DE CONCRETO MAGRO.</t>
  </si>
  <si>
    <t>SUPERESTRUTURA</t>
  </si>
  <si>
    <t>4.1</t>
  </si>
  <si>
    <t>CONCRETO ARMADO - VIGAS</t>
  </si>
  <si>
    <t>CONCRETO ARMADO - LAJES E PILARES</t>
  </si>
  <si>
    <t>4.3</t>
  </si>
  <si>
    <t>CONCRETO ARMADO - ARQUIBANCADAS E BANCOS</t>
  </si>
  <si>
    <t>4.4</t>
  </si>
  <si>
    <t>CONCRETO ARMADO - LAJE DE PISO PARA QUADRA</t>
  </si>
  <si>
    <t>FUN-LAS-010</t>
  </si>
  <si>
    <t>LASTRO DE BRITA 2 OU 3 APILOADO MANUALMENTE.</t>
  </si>
  <si>
    <t>CONCRETO ARMADO - VERGAS E CONTRAVERGAS</t>
  </si>
  <si>
    <t>SISTEMAS DE VEDAÇÃO VERTICAL</t>
  </si>
  <si>
    <t>5.1</t>
  </si>
  <si>
    <t>ELEMENTO VAZADO</t>
  </si>
  <si>
    <t>5.1.1</t>
  </si>
  <si>
    <t>5.2</t>
  </si>
  <si>
    <t>ALVENARIA DE VEDAÇÃO</t>
  </si>
  <si>
    <t>5.2.1</t>
  </si>
  <si>
    <t>5.2.2</t>
  </si>
  <si>
    <t>5.3</t>
  </si>
  <si>
    <t>ALVENARIA EM ARQUIBANCADAS</t>
  </si>
  <si>
    <t>5.3.1</t>
  </si>
  <si>
    <t>ESQUADRIAS</t>
  </si>
  <si>
    <t>6.1</t>
  </si>
  <si>
    <t>PORTAS DE MADEIRA</t>
  </si>
  <si>
    <t>6.2</t>
  </si>
  <si>
    <t>FERRAGENS E ACESSÓRIOS</t>
  </si>
  <si>
    <t>13.40.65</t>
  </si>
  <si>
    <t>BARRA APOIO DEFICIENTE TUBO METAL.CROMADO D=1 1/2"</t>
  </si>
  <si>
    <t>MERCADO</t>
  </si>
  <si>
    <t>6.3</t>
  </si>
  <si>
    <t>JANELAS DE ALUMÍNIO</t>
  </si>
  <si>
    <t>6.4</t>
  </si>
  <si>
    <t>VIDROS</t>
  </si>
  <si>
    <t>74125/002</t>
  </si>
  <si>
    <t>ESPELHO CRISTAL ESPESSURA 4MM, COM MOLDURA EM ALUMINIO E COMPENSADO 6MM PLASTIFICADO COLADO</t>
  </si>
  <si>
    <t>SISTEMAS DE COBERTURA</t>
  </si>
  <si>
    <t>7.1</t>
  </si>
  <si>
    <t>7.2</t>
  </si>
  <si>
    <t>EST-MET-055</t>
  </si>
  <si>
    <t xml:space="preserve">ESTRUTURA DE AÇO PARA COBERTURA EM ARCO , ESPAÇAMENTO ENTRE ARCOS 6 M, VÃO 25M </t>
  </si>
  <si>
    <t>IMPERMEABILIZAÇÃO</t>
  </si>
  <si>
    <t>8.1</t>
  </si>
  <si>
    <t>8.2</t>
  </si>
  <si>
    <t>REVESTIMENTOS INTERNO E EXTERNO</t>
  </si>
  <si>
    <t>9.1</t>
  </si>
  <si>
    <t>9.2</t>
  </si>
  <si>
    <t>9.3</t>
  </si>
  <si>
    <t>SISTEMAS DE PISOS</t>
  </si>
  <si>
    <t>10.1</t>
  </si>
  <si>
    <t>PAVIMENTAÇÃO INTERNA</t>
  </si>
  <si>
    <t>10.1.1</t>
  </si>
  <si>
    <t>IMP-ASF-005</t>
  </si>
  <si>
    <t>IMPERMEABILIZAÇÃO COM MANTA ASFÁLTICA PRÉ-FABRICADA, E = 4 MM</t>
  </si>
  <si>
    <t>10.1.2</t>
  </si>
  <si>
    <t>10.1.3</t>
  </si>
  <si>
    <t xml:space="preserve">PISO INDUSTRIAL DE ALTA RESISTENCIA, ESPESSURA 8MM, INCLUSO JUNTAS DE DILATACAO PLASTICAS E POLIMENTO MECANIZADO </t>
  </si>
  <si>
    <t>10.1.4</t>
  </si>
  <si>
    <t>SOL-GRA-005</t>
  </si>
  <si>
    <t>SOLEIRA DE GRANITO CINZA ANDORINHA E = 2 CM</t>
  </si>
  <si>
    <t>10.2</t>
  </si>
  <si>
    <t>PAVIMENTAÇÃO EXTERNA</t>
  </si>
  <si>
    <t>10.2.1</t>
  </si>
  <si>
    <t>URB-PAS-006</t>
  </si>
  <si>
    <t>PASSEIOS DE CONCRETO E = 6 CM, FCK = 10 MPA, JUNTA SECA</t>
  </si>
  <si>
    <t>15.22.11</t>
  </si>
  <si>
    <t xml:space="preserve">PISO DE LADRILHO HIDRAULICO 20 X 20 CM, TATIL EM COR AMARELA/VERMELHA </t>
  </si>
  <si>
    <t>PINTURAS E ACABAMENTOS</t>
  </si>
  <si>
    <t>11.1</t>
  </si>
  <si>
    <t>PIN-EMA-006</t>
  </si>
  <si>
    <t>EMASSAMENTO DE PAREDES COM 2 DEMÃO DE MASSA ACRÍLICA</t>
  </si>
  <si>
    <t>11.2</t>
  </si>
  <si>
    <t xml:space="preserve">APLICAÇÃO MANUAL DE PINTURA COM TINTA LÁTEX ACRÍLICA EM PAREDES, DUAS DEMÃOS. </t>
  </si>
  <si>
    <t xml:space="preserve">APLICAÇÃO MANUAL DE PINTURA COM TINTA LÁTEX PVA EM TETO, DUAS DEMÃOS. </t>
  </si>
  <si>
    <t>APLICACAO DE TINTA A BASE DE EPOXI SOBRE PISO</t>
  </si>
  <si>
    <t>PINTURA ACRILICA DE FAIXAS DE DEMARCACAO EM QUADRA POLIESPORTIVA, 5 CM DE LARGURA</t>
  </si>
  <si>
    <t>73865/001</t>
  </si>
  <si>
    <t>FUNDO PREPARADOR PRIMER A BASE DE EPOXI, PARA ESTRUTURA METALICA, UMA DEMAO, ESPESSURA DE 25 MICRA.</t>
  </si>
  <si>
    <t>73924/003</t>
  </si>
  <si>
    <t>PINTURA ESMALTE FOSCO, DUAS DEMAOS, SOBRE SUPERFICIE METALICA.</t>
  </si>
  <si>
    <t>74145/001</t>
  </si>
  <si>
    <t>PINTURA ESMALTE FOSCO, DUAS DEMAOS, SOBRE SUPERFICIE METALICA, INCLUSO UMA DEMAO DE FUNDO ANTICORROSIVO. UTILIZACAO DE REVOLVER ( AR-COMPRIMIDO).</t>
  </si>
  <si>
    <t>INSTALAÇÃO HIDRÁULICA</t>
  </si>
  <si>
    <t>12.1</t>
  </si>
  <si>
    <t>TUBULAÇÕES E CONEXÕES DE PVC</t>
  </si>
  <si>
    <t>JOELHO 90 GRAUS, PVC, SOLDÁVEL, DN 50MM, INSTALADO EM PRUMADA DE ÁGUA - FORNECIMENTO E INSTALAÇÃO.</t>
  </si>
  <si>
    <t>JOELHO 90 GRAUS COM BUCHA DE LATÃO, PVC, SOLDÁVEL, DN 25MM, X 1/2 INSTALADO EM RAMAL OU SUB-RAMAL DE ÁGUA - FORNECIMENTO E INSTALAÇÃO.</t>
  </si>
  <si>
    <t>TÊ DE REDUÇÃO, PVC, SOLDÁVEL, DN 32MM X 25MM, INSTALADO EM PRUMADA DE ÁGUA - FORNECIMENTO E INSTALAÇÃO.</t>
  </si>
  <si>
    <t>TÊ DE REDUÇÃO, PVC, SOLDÁVEL, DN 50MM X 40MM, INSTALADO EM PRUMADA DE ÁGUA - FORNECIMENTO E INSTALAÇÃO.</t>
  </si>
  <si>
    <t>LUVA SOLDÁVEL E COM ROSCA, PVC, SOLDÁVEL, DN 25MM X 3/4, INSTALADO EM PRUMADA DE ÁGUA - FORNECIMENTO E INSTALAÇÃO.</t>
  </si>
  <si>
    <t>LUVA, PVC, SOLDÁVEL, DN 32MM, INSTALADO EM RAMAL OU SUB-RAMAL DE ÁGUA - FORNECIMENTO E INSTALAÇÃO.</t>
  </si>
  <si>
    <t>LUVA DE REDUÇÃO, PVC, SOLDÁVEL, DN 40MM X 32MM, INSTALADO EM RAMAL DE DISTRIBUIÇÃO DE ÁGUA - FORNECIMENTO E INSTALAÇÃO.</t>
  </si>
  <si>
    <t>UNIÃO, PVC, SOLDÁVEL, DN 20MM, INSTALADO EM RAMAL OU SUB-RAMAL DE ÁGUA - FORNECIMENTO E INSTALAÇÃO.</t>
  </si>
  <si>
    <t>UNIÃO, PVC, SOLDÁVEL, DN 50MM, INSTALADO EM PRUMADA DE ÁGUA - FORNECIMENTO E INSTALAÇÃO.</t>
  </si>
  <si>
    <t>12.2</t>
  </si>
  <si>
    <t>REGISTROS E OUTROS</t>
  </si>
  <si>
    <t>REGISTRO DE GAVETA BRUTO, LATÃO, ROSCÁVEL, 3/4", FORNECIDO E INSTALADO EM RAMAL DE ÁGUA.</t>
  </si>
  <si>
    <t>74182/1</t>
  </si>
  <si>
    <t>REGISTRO DE GAVETA BRUTO, LATÃO, ROSCÁVEL, 1 1/2, INSTALADO EM RESERVAÇÃO DE ÁGUA DE EDIFICAÇÃO QUE POSSUA RESERVATÓRIO DE FIBRA/FIBROCIMEN
TO FORNECIMENTO E INSTALAÇÃO.</t>
  </si>
  <si>
    <t>HID-REG-086</t>
  </si>
  <si>
    <t>REGISTRO DE GAVETA COM CANOPLA D = 32 MM (1 1/4") - PADRÃO POPULAR</t>
  </si>
  <si>
    <t>HID-REG-081</t>
  </si>
  <si>
    <t>REGISTRO DE GAVETA COM CANOPLA D = 25 MM (1") - PADRÃO POPULAR</t>
  </si>
  <si>
    <t>REGISTRO DE PRESSÃO BRUTO, LATÃO, ROSCÁVEL, 3/4", COM ACABAMENTO E CANOPLA CROMADOS. FORNECIDO E INSTALADO EM RAMAL DE ÁGUA.</t>
  </si>
  <si>
    <t>ADAPTADOR CURTO COM BOLSA E ROSCA PARA REGISTRO, PVC, SOLDÁVEL, DN 25MM X 3/4, INSTALADO EM PRUMADA DE ÁGUA</t>
  </si>
  <si>
    <t>ADAPTADOR CURTO COM BOLSA E ROSCA PARA REGISTRO, PVC, SOLDÁVEL, DN 32MM X 1, INSTALADO EM PRUMADA DE ÁGUA</t>
  </si>
  <si>
    <t>ADAPTADOR CURTO COM BOLSA E ROSCA PARA REGISTRO, PVC, SOLDÁVEL, DN 40MM X 1.1/2, INSTALADO EM PRUMADA DE ÁGUA - FORNECIMENTO E INSTALAÇÃO</t>
  </si>
  <si>
    <t>ADAPTADOR CURTO COM BOLSA E ROSCA PARA REGISTRO, PVC, SOLDÁVEL, DN 50MM X 1.1/2, INSTALADO EM PRUMADA DE ÁGUA - FORNECIMENTO E INSTALAÇÃO.</t>
  </si>
  <si>
    <t>ENGATE FLEXÍVEL EM PLÁSTICO BRANCO, 1/2" X 30CM - FORNECIMENTO E INSTALAÇÃO.</t>
  </si>
  <si>
    <t>ADAPTADOR COM FLANGE E ANEL DE VEDAÇÃO, PVC, SOLDÁVEL, DN 25 MM X 3/4, INSTALADO EM RESERVAÇÃO DE ÁGUA DE EDIFICAÇÃO QUE POSSUA RESERVATÓRIO DE FIBRA/FIBROCIMENTO FORNECIMENTO E INSTALAÇÃO.</t>
  </si>
  <si>
    <t>ADAPTADOR COM FLANGE E ANEL DE VEDAÇÃO, PVC, SOLDÁVEL, DN 50 MM X 1 1/2, INSTALADO EM RESERVAÇÃO DE ÁGUA DE EDIFICAÇÃO QUE POSSUA RESERVATÓRIO DE FIBRA/FIBROCIMENTO FORNECIMENTO E INSTALAÇÃO.</t>
  </si>
  <si>
    <t>HID-DAG-020</t>
  </si>
  <si>
    <t>CAIXA DÁGUA DE POLIETILENO COM TAMPA 1500 L</t>
  </si>
  <si>
    <t>INSTALAÇÃO SANITÁRIA</t>
  </si>
  <si>
    <t>13.1</t>
  </si>
  <si>
    <t>TUBO PVC, SERIE NORMAL, ESGOTO PREDIAL, DN 40 MM, FORNECIDO E INSTALADO EM RAMAL DE DESCARGA OU RAMAL DE ESGOTO SANITÁRIO.</t>
  </si>
  <si>
    <t>TUBO PVC, SERIE NORMAL, ESGOTO PREDIAL, DN 50 MM, FORNECIDO E INSTALADO EM RAMAL DE DESCARGA OU RAMAL DE ESGOTO SANITÁRIO.</t>
  </si>
  <si>
    <t>TUBO PVC, SERIE NORMAL, ESGOTO PREDIAL, DN 100 MM, FORNECIDO E INSTALADO EM RAMAL DE DESCARGA OU RAMAL DE ESGOTO SANITÁRIO.</t>
  </si>
  <si>
    <t>JOELHO 45 GRAUS, PVC, SERIE NORMAL, ESGOTO PREDIAL, DN 40 MM, JUNTA SOLDÁVEL, FORNECIDO E INSTALADO EM RAMAL DE DESCARGA OU RAMAL DE ESGOTO
SANITÁRIO.</t>
  </si>
  <si>
    <t>JOELHO 90 GRAUS, PVC, SERIE NORMAL, ESGOTO PREDIAL, DN 100 MM, JUNTA ELÁSTICA, FORNECIDO E INSTALADO EM RAMAL DE DESCARGA OU RAMAL DE ESGOTO
SANITÁRIO.</t>
  </si>
  <si>
    <t>JUNÇÃO SIMPLES, PVC, SERIE NORMAL, ESGOTO PREDIAL, DN 100 X 100 MM, JUNTA ELÁSTICA, FORNECIDO E INSTALADO EM RAMAL DE DESCARGA OU RAMAL DE ESGOTO SANITÁRIO.</t>
  </si>
  <si>
    <t>JOELHO 45 GRAUS, PVC, SERIE NORMAL, ESGOTO PREDIAL, DN 100 MM, JUNTA ELÁSTICA, FORNECIDO E INSTALADO EM SUBCOLETOR AÉREO DE ESGOTO SANITÁRIO.</t>
  </si>
  <si>
    <t>CURVA CURTA 90 GRAUS, PVC, SERIE NORMAL, ESGOTO PREDIAL, DN 100 MM, JUNTA ELÁSTICA, FORNECIDO E INSTALADO EM SUBCOLETOR AÉREO DE ESGOTO SANITÁRIO.</t>
  </si>
  <si>
    <t>CAIXAS E ACESSÓRIOS</t>
  </si>
  <si>
    <t>HID-SIF-005</t>
  </si>
  <si>
    <t>CAIXA SIFONADA EM PVC COM GRELHA QUADRADA150 X 150 X 50 MM</t>
  </si>
  <si>
    <t>CAIXA DE INSPEÇÃO 80X80X80CM EM ALVENARIA - EXECUÇÃO</t>
  </si>
  <si>
    <t>RALO SECO, PVC, DN 100 X 40 MM, JUNTA SOLDÁVEL, FORNECIDO E INSTALADO EM RAMAL DE DESCARGA OU EM RAMAL DE ESGOTO SANITÁRIO.</t>
  </si>
  <si>
    <t>TUBO PVC, SERIE NORMAL, ESGOTO PREDIAL, DN 50 MM, FORNECIDO E INSTALADO EM PRUMADA DE ESGOTO SANITÁRIO OU VENTILAÇÃO.</t>
  </si>
  <si>
    <t>SIFÃO DO TIPO FLEXÍVEL EM PVC 1 X 1.1/2 - FORNECIMENTO E INSTALAÇÃO.</t>
  </si>
  <si>
    <t>73795/2</t>
  </si>
  <si>
    <t>VALVULA DE RETENCAO HORIZONTAL Ø 25MM (1) - FORNECIMENTO E INSTALACAO</t>
  </si>
  <si>
    <t>74198/002</t>
  </si>
  <si>
    <t>SUMIDOURO EM ALVENARIA DE TIJOLO CERAMICO MACIÇO DIAMETRO 1,40M E ALTURA 5,00M, COM TAMPA EM CONCRETO ARMADO DIAMETRO 1,60M E ESPESSURA 10CM</t>
  </si>
  <si>
    <t>DRENAGEM DE ÁGUAS PLUVIAIS</t>
  </si>
  <si>
    <t>14.1</t>
  </si>
  <si>
    <t>DRE-CAN-065</t>
  </si>
  <si>
    <t>CANALETA PARA ÁGUAS PLUVIAIS EM CONCRETO MOLDADA IN-LOCO, LARGURA 15 CM</t>
  </si>
  <si>
    <t>14.2</t>
  </si>
  <si>
    <t>FORNECIMENTO E ASSENTAMENTO DE BRITA 2-DRENOS E FILTROS</t>
  </si>
  <si>
    <t>LOUÇAS, ACESSÓRIOS E METAIS</t>
  </si>
  <si>
    <t>15.1</t>
  </si>
  <si>
    <t>VASO SANITARIO SIFONADO CONVENCIONAL COM LOUÇA BRANCA - FORNECIMENTO E INSTALAÇÃO.</t>
  </si>
  <si>
    <t>15.2</t>
  </si>
  <si>
    <t>VALVULA DESCARGA 1.1/2" COM REGISTRO, ACABAMENTO EM METAL CROMADO - FORNECIMENTO E INSTALACAO</t>
  </si>
  <si>
    <t>15.3</t>
  </si>
  <si>
    <t>CUBA DE EMBUTIR OVAL EM LOUÇA BRANCA, 35 X 50CM OU EQUIVALENTE - FORNECIMENTO E INSTALAÇÃO.</t>
  </si>
  <si>
    <t>15.4</t>
  </si>
  <si>
    <t>LOU-CUB-010</t>
  </si>
  <si>
    <t>CUBA DE LOUÇA BRANCA DE SOBREPOR, OVAL, INCLUSIVE VÁLVULA, SIFÃO E LIGAÇÕES CROMADAS</t>
  </si>
  <si>
    <t>15.5</t>
  </si>
  <si>
    <t>MET-DUC-005</t>
  </si>
  <si>
    <t>DUCHA HIGIÊNICA COM REGISTRO PARA CONTROLE DE FLUXO DE ÁGUA 1/2"</t>
  </si>
  <si>
    <t>15.6</t>
  </si>
  <si>
    <t>TORNEIRA CROMADA DE MESA, 1/2" OU 3/4", PARA LAVATÓRIO, PADRÃO POPULAR- FORNECIMENTO E INSTALAÇÃO.</t>
  </si>
  <si>
    <t>15.7</t>
  </si>
  <si>
    <t>TORNEIRA CROMADA 1/2" OU 3/4" PARA TANQUE, PADRÃO MÉDIO - FORNECIMENTO E INSTALAÇÃO.</t>
  </si>
  <si>
    <t>15.8</t>
  </si>
  <si>
    <t xml:space="preserve">PAPELEIRA DE PAREDE EM METAL CROMADO SEM TAMPA, INCLUSO FIXAÇÃO. </t>
  </si>
  <si>
    <t>ACE-PAP-020</t>
  </si>
  <si>
    <t>PORTA PAPEL TOALHA 2 OU 3 DOBRAS, PLÁSTICO MIX</t>
  </si>
  <si>
    <t>SABONETEIRA PLASTICA TIPO DISPENSER PARA SABONETE LIQUIDO COM RESERVATORIO 800 A 1500 ML, INCLUSO FIXAÇÃO.</t>
  </si>
  <si>
    <t>ACE-ASS-005</t>
  </si>
  <si>
    <t>ASSENTO BRANCO PARA VASO</t>
  </si>
  <si>
    <t>ACE-BAN-010</t>
  </si>
  <si>
    <t>BANCO ARTICULADO PARA CHUVEIRO DE P.N.E.</t>
  </si>
  <si>
    <t>SISTEMA DE PROTEÇÃO CONTRA INCÊNCIO</t>
  </si>
  <si>
    <t>16.1</t>
  </si>
  <si>
    <t>INC-EXT-016</t>
  </si>
  <si>
    <t>EXTINTOR DE INCÊNDIO TIPO PÓ QUÍMICO 2-A:20-B:C, CAPACIDADE 6 KG</t>
  </si>
  <si>
    <t>16.2</t>
  </si>
  <si>
    <t>LUMINÁRIA DE EMERGÊNCIA - FORNECIMENTO E INSTALAÇÃO.</t>
  </si>
  <si>
    <t>PINTURA ACRILICA PARA SINALIZAÇÃO HORIZONTAL EM PISO CIMENTADO</t>
  </si>
  <si>
    <t>INC-PLA-035</t>
  </si>
  <si>
    <t xml:space="preserve">PLACA FOTOLUMINESCENTE "S12" - 380 X 190 MM (SAÍDA) </t>
  </si>
  <si>
    <t>10.90.24</t>
  </si>
  <si>
    <t>SINALIZADOR PARA EXTINTOR DE INCENDIO EM PVC</t>
  </si>
  <si>
    <t>INSTALAÇÃO ELÉTRICA - 110V</t>
  </si>
  <si>
    <t>17.1</t>
  </si>
  <si>
    <t>CENTRO DE DISTRIBUIÇÃO</t>
  </si>
  <si>
    <t>17.1.1</t>
  </si>
  <si>
    <t>QUADRO DE DISTRIBUICAO DE ENERGIA EM CHAPA DE ACO GALVANIZADO, PARA 12 DISJUNTORES TERMOMAGNETICOS MONOPOLARES, COM BARRAMENTO TRIFASICO E NEUTRO - FORNECIMENTO E INSTALACAO</t>
  </si>
  <si>
    <t>17.1.2</t>
  </si>
  <si>
    <t>74131/005</t>
  </si>
  <si>
    <t>QUADRO DE DISTRIBUICAO DE ENERGIA DE EMBUTIR, EM CHAPA METALICA, PARA 24 DISJUNTORES TERMOMAGNETICOS MONOPOLARES, COM BARRAMENTO TRIFASICO E NEUTRO, FORNECIMENTO E INSTALACAO</t>
  </si>
  <si>
    <t>17.1.3</t>
  </si>
  <si>
    <t>17.1.4</t>
  </si>
  <si>
    <t>74130/001</t>
  </si>
  <si>
    <t>DISJUNTOR TERMOMAGNETICO MONOPOLAR PADRAO NEMA (AMERICANO) 10 A 30A 240V, FORNECIMENTO E INSTALACAO</t>
  </si>
  <si>
    <t>17.1.5</t>
  </si>
  <si>
    <t>17.1.6</t>
  </si>
  <si>
    <t>17.1.7</t>
  </si>
  <si>
    <t>74130/005</t>
  </si>
  <si>
    <t>DISJUNTOR TERMOMAGNETICO TRIPOLAR PADRAO NEMA (AMERICANO) 60 A 100A 240V, FORNECIMENTO E INSTALACAO</t>
  </si>
  <si>
    <t>17.1.8</t>
  </si>
  <si>
    <t>74130/006</t>
  </si>
  <si>
    <t>DISJUNTOR TERMOMAGNETICO TRIPOLAR PADRAO NEMA (AMERICANO) 125 A 150A 240V, FORNECIMENTO E INSTALACAO</t>
  </si>
  <si>
    <t>17.1.9</t>
  </si>
  <si>
    <t>SPDA-VLC-005</t>
  </si>
  <si>
    <t>17.2</t>
  </si>
  <si>
    <t>ELETRODUTOS E ACESSÓRIOS</t>
  </si>
  <si>
    <t>17.2.1</t>
  </si>
  <si>
    <t>ELETRODUTO FLEXÍVEL CORRUGADO, PVC, DN 25 MM (3/4"), PARA CIRCUITOS TERMINAIS, INSTALADO EM PAREDE - FORNECIMENTO E INSTALAÇÃO. AF_12/2015</t>
  </si>
  <si>
    <t>17.2.2</t>
  </si>
  <si>
    <t>ELETRODUTO FLEXÍVEL CORRUGADO, PVC, DN 32 MM (1"), PARA CIRCUITOS TERMINAIS, INSTALADO EM PAREDE - FORNECIMENTO E INSTALAÇÃO. AF_12/2015</t>
  </si>
  <si>
    <t>17.2.3</t>
  </si>
  <si>
    <t>ELETRODUTO RÍGIDO ROSCÁVEL, PVC, DN 40 MM (1 1/4"), PARA CIRCUITOS TERMINAIS, INSTALADO EM PAREDE - FORNECIMENTO E INSTALAÇÃO. AF_12/2015</t>
  </si>
  <si>
    <t>17.2.4</t>
  </si>
  <si>
    <t>ELETRODUTO DE AÇO GALVANIZADO, CLASSE LEVE, DN 25 MM (1), APARENTE,INSTALADO EM TETO - FORNECIMENTO E INSTALAÇÃO.</t>
  </si>
  <si>
    <t>17.2.5</t>
  </si>
  <si>
    <t>17.2.6</t>
  </si>
  <si>
    <t>ELETRODUTO DE AÇO GALVANIZADO, CLASSE SEMI PESADO, DN 40 MM (1 1/2 ), APARENTE, INSTALADO EM TETO - FORNECIMENTO E INSTALAÇÃO.</t>
  </si>
  <si>
    <t>17.2.7</t>
  </si>
  <si>
    <t>17.2.8</t>
  </si>
  <si>
    <t>cj</t>
  </si>
  <si>
    <t>LUVA, EM FERRO GALVANIZADO, CONEXÃO ROSQUEADA, DN 20 (3/4"), INSTALADO EM RAMAIS E SUB-RAMAIS DE GÁS - FORNECIMENTO E INSTALAÇÃO.</t>
  </si>
  <si>
    <t>LUVA, EM FERRO GALVANIZADO, CONEXÃO ROSQUEADA, DN 25 (1"), INSTALADO EM RAMAIS E SUB-RAMAIS DE GÁS - FORNECIMENTO E INSTALAÇÃO.</t>
  </si>
  <si>
    <t>LUVA, EM FERRO GALVANIZADO, CONEXÃO ROSQUEADA, DN 40 (1 1/2"), INSTALADO EM REDE DE ALIMENTAÇÃO PARA SPRINKLER - FORNECIMENTO E INSTALAÇÃO.</t>
  </si>
  <si>
    <t>CAIXA RETANGULAR 4" X 2" MÉDIA (1,30 M DO PISO), METÁLICA, INSTALADA EM PAREDE - FORNECIMENTO E INSTALAÇÃO.</t>
  </si>
  <si>
    <t>CAIXA OCTOGONAL 4" X 4", METÁLICA, INSTALADA EM LAJE - FORNECIMENTO E INSTALAÇÃO.</t>
  </si>
  <si>
    <t>CABOS E FIOS CONDUTORES</t>
  </si>
  <si>
    <t>CABO DE COBRE FLEXÍVEL ISOLADO, 2,5 MM², ANTI-CHAMA 450/750 V, PARA CIRCUITOS TERMINAIS - FORNECIMENTO E INSTALAÇÃO.</t>
  </si>
  <si>
    <t>CABO DE COBRE FLEXÍVEL ISOLADO, 4 MM², ANTI-CHAMA 450/750 V, PARA CIRCUITOS TERMINAIS - FORNECIMENTO E INSTALAÇÃO.</t>
  </si>
  <si>
    <t>CABO DE COBRE FLEXÍVEL ISOLADO, 16 MM², ANTI-CHAMA 450/750 V, PARA CIRCUITOS TERMINAIS - FORNECIMENTO E INSTALAÇÃO.</t>
  </si>
  <si>
    <t>CABO DE COBRE FLEXÍVEL ISOLADO, 35 MM², ANTI-CHAMA 450/750 V, PARA DISTRIBUIÇÃO - FORNECIMENTO E INSTALAÇÃO.</t>
  </si>
  <si>
    <t>ILUMINAÇÃO, TOMADAS E INTERRUPTORES</t>
  </si>
  <si>
    <t>TOMADA BAIXA DE EMBUTIR (1 MÓDULO), 2P+T 10 A, INCLUINDO SUPORTE E PLACA - FORNECIMENTO E INSTALAÇÃO.</t>
  </si>
  <si>
    <t>TOMADA BAIXA DE EMBUTIR (1 MÓDULO), 2P+T 20 A, INCLUINDO SUPORTE E PLACA - FORNECIMENTO E INSTALAÇÃO.</t>
  </si>
  <si>
    <t>INTERRUPTOR SIMPLES (1 MÓDULO), 10A/250V, INCLUINDO SUPORTE E PLACA - FORNECIMENTO E INSTALAÇÃO.</t>
  </si>
  <si>
    <t>LUMINÁRIA TIPO CALHA, DE SOBREPOR, COM 1 LÂMPADA TUBULAR DE 36 W - FORNECIMENTO E INSTALAÇÃO.</t>
  </si>
  <si>
    <t>LUMINÁRIA TIPO CALHA, DE SOBREPOR, COM 2 LÂMPADAS TUBULARES DE 36 W - FORNECIMENTO E INSTALAÇÃO.</t>
  </si>
  <si>
    <t>ELE-PRO-005</t>
  </si>
  <si>
    <t>PROJETOR EXTERNO PARA LÂMPADA A VAPOR DE MERCÚRIO , DE IODETO METÁLICO OU DE SÓDIO, COM ÂNGULO REGULÁVEL, COM ALOJAMENTO PARA REATOR, COMPLETO</t>
  </si>
  <si>
    <t>SISTEMA DE PROTEÇÃO CONTRA DESCARGAS ATMOSFÉRICAS (SPDA)</t>
  </si>
  <si>
    <t>18.1</t>
  </si>
  <si>
    <t>SPDA-ATE-005</t>
  </si>
  <si>
    <t>ATERRAMENTO COMPLETO PARA PÁRA-RAIOS , COM HASTES DE COBRE COM ALMA DE AÇO TIPO "COPPERWELD"</t>
  </si>
  <si>
    <t>18.2</t>
  </si>
  <si>
    <t>SPDA-CXS-005</t>
  </si>
  <si>
    <t>CAIXA DE EQUALIZAÇÃO DE EMBUTIR COM SAIDAS NAS PARTES SUPERIOR E INFERIOR PARA ELETRODUTO DE 25MM (1"), 20 X 20 X 14 MM, COM NOVE TERMINAIS</t>
  </si>
  <si>
    <t>18.3</t>
  </si>
  <si>
    <t>SPDA-CON-025</t>
  </si>
  <si>
    <t xml:space="preserve">CONECTOR CABO-HASTE EM BRONZE NATURAL PARA DOIS CABOS DE COBRE DE 16-70 MM² </t>
  </si>
  <si>
    <t>SERVIÇOS COMPLEMENTARES</t>
  </si>
  <si>
    <t>19.1</t>
  </si>
  <si>
    <t>GERAL</t>
  </si>
  <si>
    <t>BAN-GRA-010</t>
  </si>
  <si>
    <t>BANCADA EM GRANITO CINZA ANDORINHA E = 3 CM, APOIADA EM ALVENARIA</t>
  </si>
  <si>
    <t>EQP-ESP-030</t>
  </si>
  <si>
    <t>TABELA DE BASQUETE EM POSTE METÁLICO E SUPORTE DE PISO</t>
  </si>
  <si>
    <t>EQP-ESP-005</t>
  </si>
  <si>
    <t xml:space="preserve">TRAVES DE GOL EM TUBO GALVANIZADO PARA QUADRA </t>
  </si>
  <si>
    <t>EQP-ESP-015</t>
  </si>
  <si>
    <t>REDE DE VÔLEI COM PEDESTAL PARA JUIZ</t>
  </si>
  <si>
    <t>GUARDA-CORPO COM CORRIMAO EM TUBO DE ACO GALVANIZADO 1 1/2"</t>
  </si>
  <si>
    <t>19.2</t>
  </si>
  <si>
    <t>PORTÃO E GRADIL METÁLICO</t>
  </si>
  <si>
    <t>74244/001</t>
  </si>
  <si>
    <t>ALAMBRADO PARA QUADRA POLIESPORTIVA, ESTRUTURADO POR TUBOS DE ACO GALVANIZADO, COM COSTURA, DIN 2440, DIAMETRO 2", COM TELA DE ARAME GALVANIZADO, FIO 14 BWG E MALHA QUADRADA 5X5CM</t>
  </si>
  <si>
    <t>SER-POR-076</t>
  </si>
  <si>
    <t>PORTÃO EM TUBO GALVANIZADO 1 1/2" COM TELA FIO 12 # 1/2" E CADEADO</t>
  </si>
  <si>
    <t>SERVIÇOS FINAIS</t>
  </si>
  <si>
    <t>20.1</t>
  </si>
  <si>
    <t>LIMPEZA FINAL DA OBRA</t>
  </si>
  <si>
    <t>TOTAL GERAL DA OBRA</t>
  </si>
  <si>
    <t>ALESSANDRO JORGE SALVINO</t>
  </si>
  <si>
    <t>DIRETOR DE OBRAS</t>
  </si>
  <si>
    <t>CRONOGRAMA FÍSICO-FINANCEIRO</t>
  </si>
  <si>
    <t>ETAPAS/DESCRIÇÃO</t>
  </si>
  <si>
    <t>FÍSICO/ FINANCEIRO</t>
  </si>
  <si>
    <t>TOTAL  ETAPAS</t>
  </si>
  <si>
    <t>MÊS 01</t>
  </si>
  <si>
    <t>MÊS 02</t>
  </si>
  <si>
    <t>MÊS 03</t>
  </si>
  <si>
    <t>MÊS 04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</si>
  <si>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</si>
  <si>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</si>
  <si>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</si>
  <si>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</si>
  <si>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</si>
  <si>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</si>
  <si>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</si>
  <si>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</si>
  <si>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</si>
  <si>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</si>
  <si>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</si>
  <si>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</si>
  <si>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</si>
  <si>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</si>
  <si>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</si>
  <si>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TOTAL</t>
  </si>
  <si>
    <t>Acórdão 2622/2013</t>
  </si>
  <si>
    <t>CALCULO DO BDI -CONSTRUÇÃO DE EDIFÍCIOS</t>
  </si>
  <si>
    <t>CONTRATO</t>
  </si>
  <si>
    <t>Proponente</t>
  </si>
  <si>
    <t>PREFEITURA MUNICIPAL DE LAGOA SANTA</t>
  </si>
  <si>
    <t>Empreendimento ( Nome/Apelido)</t>
  </si>
  <si>
    <t>Programa</t>
  </si>
  <si>
    <t>Município</t>
  </si>
  <si>
    <t>UF</t>
  </si>
  <si>
    <t>LAGOA SANTA</t>
  </si>
  <si>
    <t>Gestor (Ministério)</t>
  </si>
  <si>
    <t>Parâmetros para cálculo do BDI</t>
  </si>
  <si>
    <t>Itens Admissíveis</t>
  </si>
  <si>
    <t>Intervalos admissíveis sem justificativa</t>
  </si>
  <si>
    <t>Índices adotados</t>
  </si>
  <si>
    <t>Administração Central (AC)</t>
  </si>
  <si>
    <t xml:space="preserve">De </t>
  </si>
  <si>
    <t>até</t>
  </si>
  <si>
    <t>Seguro e Garantia (S+G)</t>
  </si>
  <si>
    <t>Risco (R)</t>
  </si>
  <si>
    <t>Despesas financeiras (DF)</t>
  </si>
  <si>
    <t>Lucro (L)</t>
  </si>
  <si>
    <t>Tributos (T)</t>
  </si>
  <si>
    <t>INSS desoneração (E)</t>
  </si>
  <si>
    <t>ou</t>
  </si>
  <si>
    <t>Controle</t>
  </si>
  <si>
    <t>BDI ADMISSÍVEL</t>
  </si>
  <si>
    <t>BDI NÃO ADMISSÍVEL</t>
  </si>
  <si>
    <t>BDI CALCULADO ----&gt;</t>
  </si>
  <si>
    <t>BDI =[(1+AC+S+R+G)*(1+DF)*(1+L)/(1-(T+E))-1]</t>
  </si>
  <si>
    <t>REGISTRO DE GAVETA BRUTO, LATÃO, ROSCÁVEL, 3/4", COM ACABAMENTO E CANOPLA CROMADOS. FORNECIDO E INSTALADO EM RAMAL DE ÁGUA.</t>
  </si>
  <si>
    <t>FOSSA SÉPTICA EM ALVENARIA DE TIJOLO CERÂMICO MACIÇO, DIMENSÕES EXTERNAS DE 1,90X1,10X1,40 M, VOLUME DE 1.500 LITROS, REVESTIDO INTERNAMENTE COM MASSA ÚNICA E IMPERMEABILIZANTE E COM TAMPA DE CONCRETO ARMADO COM ESPESSURA DE 8 CM</t>
  </si>
  <si>
    <t>CHUVEIRO ELETRICO COMUM CORPO PLASTICO TIPO DUCHA, FORNECIMENTO E INSTALACAO</t>
  </si>
  <si>
    <t xml:space="preserve">FIXAÇÃO DE TUBOS HORIZONTAIS DE PVC, CPVC OU COBRE DIÂMETROS MAIORES QUE 40 MM E MENORES OU IGUAIS A 75 MM COM ABRAÇADEIRA METÁLICA RÍGIDA TIPO D 1 1/2", FIXADA EM PERFILADO EM LAJE. </t>
  </si>
  <si>
    <t>CORDOALHA DE COBRE NU 35 MM², NÃO ENTERRADA, COM ISOLADOR - FORNECIMENTO E INSTALAÇÃO.</t>
  </si>
  <si>
    <t>CORDOALHA DE COBRE NU 50 MM², NÃO ENTERRADA, COM ISOLADOR - FORNECIMENTO E INSTALAÇÃO.</t>
  </si>
  <si>
    <t>ELETRODUTO RÍGIDO ROSCÁVEL, PVC, DN 50 MM (1 1/2") - FORNECIMENTO E INSTALAÇÃO.</t>
  </si>
  <si>
    <t xml:space="preserve">ARM-AÇO-015 </t>
  </si>
  <si>
    <t>MONTAGEM E DESMONTAGEM DE FÔRMA DE VIGA, ESCORAMENTO COM PONTALETE DE MADEIRA, PÉ-DIREITO SIMPLES, EM MADEIRA SERRADA, 4 UTILIZAÇÕES</t>
  </si>
  <si>
    <t>ARMACAO EM TELA DE ACO SOLDADA NERVURADA Q-92, ACO CA-60, 4,2MM, MALHA 15X15CM.</t>
  </si>
  <si>
    <t>07.35.01</t>
  </si>
  <si>
    <t>VERGAS E CONTRA-VERGAS DE CONCRETO PRE-FABRICADAS 10 CM X 10 CM (LARGURA X ALTURA).</t>
  </si>
  <si>
    <t>CIN-ENC-005</t>
  </si>
  <si>
    <t>ALVENARIA DE VEDAÇÃO DE BLOCOS CERÂMICOS FURADOS NA HORIZONTAL DE 9X19X19CM (ESPESSURA 9CM) DE PAREDES COM ÁREA LÍQUIDA MAIOR OU IGUAL A 6M² COM VÃOS E ARGAMASSA DE ASSENTAMENTO COM PREPARO EM BETONEIRA.</t>
  </si>
  <si>
    <t>ENCUNHAMENTO DE ALVENARIA COM TIJOLOS MACIÇOS PARA PAREDE E = 10 CM .</t>
  </si>
  <si>
    <t xml:space="preserve">CAIXILHO FIXO, DE ALUMINIO, PARA VIDRO </t>
  </si>
  <si>
    <t>74106/001</t>
  </si>
  <si>
    <t xml:space="preserve">FORNECIMENTO/INSTALACAO LONA PLASTICA PRETA, PARA IMPERMEABILIZACAO, ESPESSURA 150 MICRAS. </t>
  </si>
  <si>
    <t>IMPERMEABILIZACAO DE ESTRUTURAS ENTERRADAS, COM TINTA ASFALTICA, DUAS DEMAOS. (IMPERMEAB. DE FUNDACOES UTILIZ. TINTA BETUMINOSA TIPO NEUTROLIN)</t>
  </si>
  <si>
    <t>REV-CER-005</t>
  </si>
  <si>
    <t>EST-FOR-010</t>
  </si>
  <si>
    <t>FORMA E DESFORMA DE COMPENSADO RESINADO ESPESSURA 10 MM, EXCLUSIVE ESCORAMENTO (3X).</t>
  </si>
  <si>
    <t>73937/001</t>
  </si>
  <si>
    <t>COBOGO DE CONCRETO (ELEMENTO VAZADO), 7X50X50CM, ASSENTADO COM ARGAMASSA TRACO 1:4 (CIMENTO E AREIA).</t>
  </si>
  <si>
    <t xml:space="preserve">KIT DE PORTA DE MADEIRA PARA PINTURA, SEMI-OCA (LEVE OU MÉDIA), PADRÃO MÉDIO, 80X210CM, ESPESSURA DE 3,5CM, ITENS INCLUSOS: DOBRADIÇAS, MONTAGEM E INSTALAÇÃO DO BATENTE, FECHADURA COM EXECUÇÃO DO FURO - FORNECIMENTO E INSTALAÇÃO - PM1. </t>
  </si>
  <si>
    <t>KIT DE PORTA DE MADEIRA PARA PINTURA, SEMI-OCA (LEVE OU MÉDIA), PADRÃO MÉDIO, 90X210CM, ESPESSURA DE 3,5CM, ITENS INCLUSOS: DOBRADIÇAS, MONTAGEM E INSTALAÇÃO DO BATENTE, FECHADURA COM EXECUÇÃO DO FURO - FORNECIMENTO E INSTALAÇÃO - PM2.</t>
  </si>
  <si>
    <t>SER-JAN-005</t>
  </si>
  <si>
    <t>FORNECIMENTO E ASSENTAMENTO DE JANELA BASCULANTE DE FERRO - JA-1</t>
  </si>
  <si>
    <t>unid.</t>
  </si>
  <si>
    <t>ADMINISTRAÇÃO DA OBRA</t>
  </si>
  <si>
    <t>ENGENHEIRO CIVIL DE OBRA JUNIOR COM ENCARGOS COMPLEMENTARES</t>
  </si>
  <si>
    <t>mês</t>
  </si>
  <si>
    <t>44.01.07</t>
  </si>
  <si>
    <t>ENCARREGADO GERAL DE OBRAS COM ENCARGOS COMPLEMENTARES</t>
  </si>
  <si>
    <t>44.01.09</t>
  </si>
  <si>
    <t>ALMOXARIFE</t>
  </si>
  <si>
    <t>44.01.05</t>
  </si>
  <si>
    <t>TÉCNICO DE SEGURANÇA DO TRABALHO</t>
  </si>
  <si>
    <t>VIGIA NOTURNO COM ENCARGOS COMPLEMENTARES</t>
  </si>
  <si>
    <t>COMPOSIÇÃO 1</t>
  </si>
  <si>
    <t>GASTO DE OBRA (MÊS/HOMEM)</t>
  </si>
  <si>
    <t>44.01.12</t>
  </si>
  <si>
    <t>SERVENTE</t>
  </si>
  <si>
    <t>93565</t>
  </si>
  <si>
    <t>PRAZO DE EXECUÇÃO: 4 MESES</t>
  </si>
  <si>
    <t>MOB-DES-025</t>
  </si>
  <si>
    <t xml:space="preserve">MOBILIZAÇÃO E DESMOBILIZAÇÃO DE OBRA COM VALOR ENTRE 1.000.000,01 E 3.000.000,00 </t>
  </si>
  <si>
    <t>ESCAVAÇÃO MANUAL DE VALAS EM QUALQUER TERRENO EXCETO ROCHA ATÉ H= 2,0M</t>
  </si>
  <si>
    <t>74202/001</t>
  </si>
  <si>
    <t>LAJE PRE-MOLDADA P/FORRO, SOBRECARGA 100KG/M2, VAOS ATE 3,50M/E=8CM, C/LAJOTAS E CAP.C/CONC FCK=20MPA, 3CM, INTER-EIXO 38CM, C/ESCORAMENTO (REAPR.3X) E FERRAGEM NEGATIVA</t>
  </si>
  <si>
    <t>ALV-TIJ-035</t>
  </si>
  <si>
    <t>ALVENARIA DE TIJOLO CERÂMICO FURADO E = 20 CM, A REVESTIR</t>
  </si>
  <si>
    <t>IIO-BAR-005</t>
  </si>
  <si>
    <t xml:space="preserve">BARRACÃO PESSOAL - VESTÁRIO TIPO I, A = 25,41 M2 (OBRA DE PEQUENO PORTE, EFETIVO ATÉ 30 HOMENS) - PADRÃO DEOP </t>
  </si>
  <si>
    <t xml:space="preserve">IIO-BAR-040 </t>
  </si>
  <si>
    <t>BARRACÃO REFEITÓRIO TIPO I, A = 18,15 M2 (OBRA DE MÉDIO PORTE,
EFETIVO DE 30 A 60 HOMENS) - PADRÃO DEOP</t>
  </si>
  <si>
    <t>ESQ-POR-036</t>
  </si>
  <si>
    <t>PORTA EM MADEIRA DE LEI REVESTIDA EM LAMINADO MELAMÍNICO,
COM MARCO EM ALUMÍNIO ANODIZADO NATURAL, TARJETA
LIVRE/OCUPADO E DOBRADIÇAS - 60 X 170 CM - PM3</t>
  </si>
  <si>
    <t>PORTA EM MADEIRA DE LEI REVESTIDA EM LAMINADO MELAMÍNICO,
COM MARCO EM ALUMÍNIO ANODIZADO NATURAL, TARJETA
LIVRE/OCUPADO E DOBRADIÇAS - 90 X 170 CM - PM4</t>
  </si>
  <si>
    <t>14.05.31</t>
  </si>
  <si>
    <t>VID-LIS-010</t>
  </si>
  <si>
    <t>VIDRO COMUM LISO INCOLOR, E = 4 MM, COLOCADA</t>
  </si>
  <si>
    <t>COB-TEL-060</t>
  </si>
  <si>
    <t>REGISTRO DE GAVETA BRUTO, LATÃO, ROSCÁVEL, 1 1/2, COM ACABAMENTO E CANOPLA CROMADOS, INSTALADO EM RESERVAÇÃO DE ÁGUA DE EDIFICAÇÃO QUE POSSUA RESERVATÓRIO DE FIBRA/FIBROCIMENTO FORNECIMENTO E INSTALAÇÃO.</t>
  </si>
  <si>
    <t>JOELHO PVC 40 x 90° SOLDAVEL</t>
  </si>
  <si>
    <t>ADAPTADOR SOLDA/ROSCA 40 MM X 1.1/4"</t>
  </si>
  <si>
    <t>JOELHO PVC 32 X 90° SOLDAVEL COM REDUÇÃO PARA 25 MM</t>
  </si>
  <si>
    <t>LUVA SOLDÁVEL 50 MM COM REDUÇÃO PARA 40 MM</t>
  </si>
  <si>
    <t>BUCHA REDUÇÃO SOLDÁVEL 50 X 40 MM</t>
  </si>
  <si>
    <t>BUCHA REDUÇÃO SOLDÁVEL 40 X 25 MM</t>
  </si>
  <si>
    <t>JOELHO ESGOTO 40 X 90° COM ANEL</t>
  </si>
  <si>
    <t>JUNÇÃO ESGOTO 100 X 50</t>
  </si>
  <si>
    <t>JUNÇÃO ESGOTO 50X50 COM REDUÇÃO PARA 40 MM</t>
  </si>
  <si>
    <t>ELE-PAD-030</t>
  </si>
  <si>
    <t>PADRÃO CEMIG AÉREO TIPO D6, 47,1 &lt;= DEMANDA &lt;= 57 KVA, TRIFÁSICO</t>
  </si>
  <si>
    <t>11.92.15</t>
  </si>
  <si>
    <t>TERMINAL OU CONECTOR DE PRESSAO - PARA CABO 35MM2 - FORNECIMENTO E INSTALACAO</t>
  </si>
  <si>
    <t>11.17.02</t>
  </si>
  <si>
    <t>BUCHA DE ALUMINIO ¾"</t>
  </si>
  <si>
    <t>ARRUELA DE ALUMINIO ¾"</t>
  </si>
  <si>
    <t>ARRUELA DE ALUMINIO 1"</t>
  </si>
  <si>
    <t>BUCHA DE ALUMINIO 1"</t>
  </si>
  <si>
    <t>ARRUELA DE ALUMINIO 1½"</t>
  </si>
  <si>
    <t>BUCHA DE ALUMINIO 1½"</t>
  </si>
  <si>
    <t>ABRAÇADEIRA GALVANIZADA TIPO D de ¾"</t>
  </si>
  <si>
    <t>ABRAÇADEIRA GALVANIZADA TIPO D de 1"</t>
  </si>
  <si>
    <t xml:space="preserve">CONTRAPISO EM ARGAMASSA TRAÇO 1:4 (CIMENTO E AREIA), PREPARO MECÂNICO COM BETONEIRA 400 L, APLICADO EM ÁREAS SECAS SOBRE LAJE, ADERIDO, ESPESSURA 3CM. </t>
  </si>
  <si>
    <t>3.3</t>
  </si>
  <si>
    <t>3.4</t>
  </si>
  <si>
    <t>3.5</t>
  </si>
  <si>
    <t>5.1.2</t>
  </si>
  <si>
    <t>5.1.3</t>
  </si>
  <si>
    <t>5.2.3</t>
  </si>
  <si>
    <t>5.2.4</t>
  </si>
  <si>
    <t>5.2.5</t>
  </si>
  <si>
    <t>5.3.2</t>
  </si>
  <si>
    <t>5.3.3</t>
  </si>
  <si>
    <t>7.1.1</t>
  </si>
  <si>
    <t>7.1.2</t>
  </si>
  <si>
    <t>7.1.3</t>
  </si>
  <si>
    <t>7.1.4</t>
  </si>
  <si>
    <t>7.2.1</t>
  </si>
  <si>
    <t>10.3</t>
  </si>
  <si>
    <t>10.4</t>
  </si>
  <si>
    <t>14.1.1</t>
  </si>
  <si>
    <t>14.1.2</t>
  </si>
  <si>
    <t>14.1.3</t>
  </si>
  <si>
    <t>14.1.4</t>
  </si>
  <si>
    <t>14.1.5</t>
  </si>
  <si>
    <t>19.3</t>
  </si>
  <si>
    <t>19.4</t>
  </si>
  <si>
    <t>19.5</t>
  </si>
  <si>
    <t>19.6</t>
  </si>
  <si>
    <t>19.7</t>
  </si>
  <si>
    <t>19.8</t>
  </si>
  <si>
    <t>20.2</t>
  </si>
  <si>
    <t>21.1</t>
  </si>
  <si>
    <t>PRAZO DA OBRA: 04 MESES</t>
  </si>
  <si>
    <t>TUBO PVC SOLDÁVEL Ø 20mm, FORNECIMENTO E INSTALAÇÃO</t>
  </si>
  <si>
    <t>TUBO PVC SOLDÁVEL Ø 25mm, FORNECIMENTO E INSTALAÇÃO</t>
  </si>
  <si>
    <t>TUBO PVC SOLDÁVEL Ø 32mm,FORNECIMENTO E INSTALAÇÃO</t>
  </si>
  <si>
    <t>TUBO PVC SOLDÁVEL Ø 40mm, FORNECIMENTO E INSTALAÇÃO</t>
  </si>
  <si>
    <t>TUBO PVC SOLDÁVEL Ø 50mm, FORNECIMENTO E INSTALAÇÃO</t>
  </si>
  <si>
    <t>JOELHO PVC 90º SOLDÁVEL Ø 25mm, FORNECIMENTO E INSTALAÇÃO</t>
  </si>
  <si>
    <t>JOELHO PVC 90º SOLDÁVEL Ø 32mm, FORNECIMENTO E INSTALAÇÃO</t>
  </si>
  <si>
    <t>VLC SLIM CLASSE 1 275V 12,5/60KA</t>
  </si>
  <si>
    <t xml:space="preserve">CONDULETE D= 3/4" </t>
  </si>
  <si>
    <t xml:space="preserve">CONECTOR EMENDA E MEDICAO P/CABOS COBRE 16 A 50MM2  </t>
  </si>
  <si>
    <t>OBRA: CONSTRUÇÃO DA QUADRA DA ESCOLA DONA MARIA AUGUSTA</t>
  </si>
  <si>
    <t xml:space="preserve">PROJETOS </t>
  </si>
  <si>
    <t>PROJETO DE TERRAPLENAGEM (PLANTA)</t>
  </si>
  <si>
    <t>PROJETO DE TERRAPLENAGEM (SEÇOES)</t>
  </si>
  <si>
    <t>62.01.10</t>
  </si>
  <si>
    <t>62.01.11</t>
  </si>
  <si>
    <t>PROJETO GEOMETRICO DE CONTENÇAO</t>
  </si>
  <si>
    <t>62.01.15</t>
  </si>
  <si>
    <t>1306,51</t>
  </si>
  <si>
    <t>TERRAPLENAGEM</t>
  </si>
  <si>
    <t>03.03.01</t>
  </si>
  <si>
    <t>ESCAVAÇÃO E CARGA MECANIZADA EM MATERIAL DE 1ª CATEGORIA INCLUSIVE TRANSPORTE ATE 50 M</t>
  </si>
  <si>
    <t>M³</t>
  </si>
  <si>
    <t>03.12.03</t>
  </si>
  <si>
    <t>CARGA DE MATERIAL DE QQUER NATUREZA SOBRE CAMINHÃO MECÂNICA</t>
  </si>
  <si>
    <t>03.13.04</t>
  </si>
  <si>
    <t>M³KM</t>
  </si>
  <si>
    <t xml:space="preserve">MURO DE ARRIMO </t>
  </si>
  <si>
    <t>ESTACA</t>
  </si>
  <si>
    <t>FUN-TRA-055</t>
  </si>
  <si>
    <t xml:space="preserve">PERFURAÇÃO DE ESTACA BROCA A TRADO MECANIZADO D = 500 MM </t>
  </si>
  <si>
    <t>EST-CON-085</t>
  </si>
  <si>
    <t>FORNECIMENTO E LANÇAMENTO DE CONCRETO ESTRUTURAL USINADO FCK &gt;= 25 MPA, BRITA 1 E MÓDULO DE ELASTICIDADE CONFORME NBR 6118</t>
  </si>
  <si>
    <t>06.03.07</t>
  </si>
  <si>
    <t>AÇO CA50 / CA60, INCLUSIVE CORTE, DOBRA E MONTAGEM</t>
  </si>
  <si>
    <t xml:space="preserve">BALDRAME </t>
  </si>
  <si>
    <t>TER-ESC-035</t>
  </si>
  <si>
    <t>ESCAVAÇÃO MANUAL DE VALAS H &lt;= 1,50 M</t>
  </si>
  <si>
    <t>7.2.2</t>
  </si>
  <si>
    <t>7.2.3</t>
  </si>
  <si>
    <t>m³Km</t>
  </si>
  <si>
    <t>7.2.4</t>
  </si>
  <si>
    <t>EST-CON-110</t>
  </si>
  <si>
    <t>FORNECIMENTO E LANÇAMENTO DE CONCRETO ESTRUTURAL USINADO BOMBEADO FCK &gt;= 20 MPA, BRITA 1 E MÓDULO DE ELASTICIDADE CONFORME NBR 6118</t>
  </si>
  <si>
    <t>7.2.5</t>
  </si>
  <si>
    <t>VIGAS E PILARES</t>
  </si>
  <si>
    <t>40.20.15</t>
  </si>
  <si>
    <t>FORMA DE COMPENSADO RESINADO E=12MM TIPO B (3 APR)</t>
  </si>
  <si>
    <t>EST-CON-121</t>
  </si>
  <si>
    <t>FORNECIMENTO E LANÇAMENTO DE CONCRETO ESTRUTURAL USINADO BOMBEADO FCK &gt;= 35 MPA, BRITA 1 E MÓDULO DE ELASTICIDADE CONFORME NBR 6118</t>
  </si>
  <si>
    <t>3.6</t>
  </si>
  <si>
    <t>3.7</t>
  </si>
  <si>
    <t>3.8</t>
  </si>
  <si>
    <t>3.9</t>
  </si>
  <si>
    <t>3.10</t>
  </si>
  <si>
    <t>3.11</t>
  </si>
  <si>
    <t>3.12</t>
  </si>
  <si>
    <t>3.13</t>
  </si>
  <si>
    <t>6.5</t>
  </si>
  <si>
    <t>7.1.5</t>
  </si>
  <si>
    <t>7.1.6</t>
  </si>
  <si>
    <t>7.1.7</t>
  </si>
  <si>
    <t>8.1.1</t>
  </si>
  <si>
    <t>8.1.2</t>
  </si>
  <si>
    <t>8.1.3</t>
  </si>
  <si>
    <t>8.1.4</t>
  </si>
  <si>
    <t>8.2.1</t>
  </si>
  <si>
    <t>8.2.2</t>
  </si>
  <si>
    <t>8.2.3</t>
  </si>
  <si>
    <t>8.2.4</t>
  </si>
  <si>
    <t>8.2.5</t>
  </si>
  <si>
    <t>8.3</t>
  </si>
  <si>
    <t>8.3.1</t>
  </si>
  <si>
    <t>8.3.2</t>
  </si>
  <si>
    <t>8.3.3</t>
  </si>
  <si>
    <t>8.3.4</t>
  </si>
  <si>
    <t>8.4</t>
  </si>
  <si>
    <t>8.4.1</t>
  </si>
  <si>
    <t>9.1.1</t>
  </si>
  <si>
    <t>9.2.1</t>
  </si>
  <si>
    <t>9.2.2</t>
  </si>
  <si>
    <t>9.3.1</t>
  </si>
  <si>
    <t>10.3.1</t>
  </si>
  <si>
    <t>10.3.2</t>
  </si>
  <si>
    <t>10.4.1</t>
  </si>
  <si>
    <t>10.4.2</t>
  </si>
  <si>
    <t>14.2.1</t>
  </si>
  <si>
    <t>14.2.2</t>
  </si>
  <si>
    <t>14.2.3</t>
  </si>
  <si>
    <t>16.1.1</t>
  </si>
  <si>
    <t>16.1.2</t>
  </si>
  <si>
    <t>16.1.3</t>
  </si>
  <si>
    <t>16.1.4</t>
  </si>
  <si>
    <t>16.1.5</t>
  </si>
  <si>
    <t>16.1.6</t>
  </si>
  <si>
    <t>16.1.7</t>
  </si>
  <si>
    <t>16.1.8</t>
  </si>
  <si>
    <t>16.1.9</t>
  </si>
  <si>
    <t>16.1.10</t>
  </si>
  <si>
    <t>16.1.11</t>
  </si>
  <si>
    <t>16.1.12</t>
  </si>
  <si>
    <t>16.1.13</t>
  </si>
  <si>
    <t>16.1.14</t>
  </si>
  <si>
    <t>16.1.15</t>
  </si>
  <si>
    <t>16.1.16</t>
  </si>
  <si>
    <t>16.1.17</t>
  </si>
  <si>
    <t>16.1.18</t>
  </si>
  <si>
    <t>16.1.19</t>
  </si>
  <si>
    <t>16.1.20</t>
  </si>
  <si>
    <t>16.1.21</t>
  </si>
  <si>
    <t>16.1.22</t>
  </si>
  <si>
    <t>16.2.1</t>
  </si>
  <si>
    <t>17.1.10</t>
  </si>
  <si>
    <t>17.1.11</t>
  </si>
  <si>
    <t>19.9</t>
  </si>
  <si>
    <t>19.10</t>
  </si>
  <si>
    <t>19.11</t>
  </si>
  <si>
    <t>19.12</t>
  </si>
  <si>
    <t>19.13</t>
  </si>
  <si>
    <t>20.3</t>
  </si>
  <si>
    <t>20.4</t>
  </si>
  <si>
    <t>20.5</t>
  </si>
  <si>
    <t>21.1.1</t>
  </si>
  <si>
    <t>21.1.2</t>
  </si>
  <si>
    <t>21.1.3</t>
  </si>
  <si>
    <t>21.1.4</t>
  </si>
  <si>
    <t>21.1.5</t>
  </si>
  <si>
    <t>21.1.6</t>
  </si>
  <si>
    <t>21.1.7</t>
  </si>
  <si>
    <t>21.1.8</t>
  </si>
  <si>
    <t>21.1.9</t>
  </si>
  <si>
    <t>21.2</t>
  </si>
  <si>
    <t>21.2.1</t>
  </si>
  <si>
    <t>21.2.2</t>
  </si>
  <si>
    <t>21.2.3</t>
  </si>
  <si>
    <t>21.2.4</t>
  </si>
  <si>
    <t>21.2.5</t>
  </si>
  <si>
    <t>21.2.6</t>
  </si>
  <si>
    <t>21.2.7</t>
  </si>
  <si>
    <t>21.2.8</t>
  </si>
  <si>
    <t>21.2.9</t>
  </si>
  <si>
    <t>21.2.10</t>
  </si>
  <si>
    <t>21.2.11</t>
  </si>
  <si>
    <t>21.2.12</t>
  </si>
  <si>
    <t>21.2.13</t>
  </si>
  <si>
    <t>21.2.14</t>
  </si>
  <si>
    <t>21.2.15</t>
  </si>
  <si>
    <t>21.2.16</t>
  </si>
  <si>
    <t>21.2.17</t>
  </si>
  <si>
    <t>21.2.18</t>
  </si>
  <si>
    <t>21.2.19</t>
  </si>
  <si>
    <t>21.2.20</t>
  </si>
  <si>
    <t>21.2.21</t>
  </si>
  <si>
    <t>21.3</t>
  </si>
  <si>
    <t>21.4</t>
  </si>
  <si>
    <t>21.3.1</t>
  </si>
  <si>
    <t>21.3.4</t>
  </si>
  <si>
    <t>21.3.2</t>
  </si>
  <si>
    <t>21.3.3</t>
  </si>
  <si>
    <t>21.4.1</t>
  </si>
  <si>
    <t>21.4.2</t>
  </si>
  <si>
    <t>21.4.3</t>
  </si>
  <si>
    <t>21.4.4</t>
  </si>
  <si>
    <t>21.4.5</t>
  </si>
  <si>
    <t>21.4.6</t>
  </si>
  <si>
    <t>22.1</t>
  </si>
  <si>
    <t>22.2</t>
  </si>
  <si>
    <t>22.3</t>
  </si>
  <si>
    <t>22.4</t>
  </si>
  <si>
    <t>22.5</t>
  </si>
  <si>
    <t>22.6</t>
  </si>
  <si>
    <t>22.7</t>
  </si>
  <si>
    <t>22.8</t>
  </si>
  <si>
    <t>23.1</t>
  </si>
  <si>
    <t>23.2</t>
  </si>
  <si>
    <t>23.1.1</t>
  </si>
  <si>
    <t>23.1.2</t>
  </si>
  <si>
    <t>23.1.3</t>
  </si>
  <si>
    <t>23.1.4</t>
  </si>
  <si>
    <t>23.1.5</t>
  </si>
  <si>
    <t>23.2.1</t>
  </si>
  <si>
    <t>23.2.2</t>
  </si>
  <si>
    <t>24.1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</si>
  <si>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</si>
  <si>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</si>
  <si>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</si>
  <si>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</si>
  <si>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</si>
  <si>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</si>
  <si>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</si>
  <si>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</si>
  <si>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</si>
  <si>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8.5</t>
  </si>
  <si>
    <t>8.4.2</t>
  </si>
  <si>
    <t>8.4.3</t>
  </si>
  <si>
    <t>8.4.4</t>
  </si>
  <si>
    <t>8.5.1</t>
  </si>
  <si>
    <t xml:space="preserve">REBOCO COM ARGAMASSA 1:7 CIMENTO E AREIA </t>
  </si>
  <si>
    <t>REV-CHA-010</t>
  </si>
  <si>
    <t>CHAPISCO COM ARGAMASSA 1:3 CIMENTO E AREIA, A PENEIRA</t>
  </si>
  <si>
    <t>CERÂMICA ESMALTADA 10 X 10 CM PEI IV, ASSENTADA COM ARGAMASSA PRÉ-FABRICADA, INCLUSIVE REJUNTAMENTO</t>
  </si>
  <si>
    <t>REVESTIMENTO CERÂMICO PARA PAREDES INTERNAS COM PLACAS TIPO ESMALTADA EXTRA DE DIMENSÕES 33X45 CM APLICADAS EM AMBIENTES DE ÁREA MAIOR QUE 5 M² NA ALTURA INTEIRA DAS PAREDES.</t>
  </si>
  <si>
    <t>EMBOÇO COM ARGAMASSA 1:6 CIMENTO E AREIA</t>
  </si>
  <si>
    <t>14.05.21</t>
  </si>
  <si>
    <t>13.2</t>
  </si>
  <si>
    <t>13.3</t>
  </si>
  <si>
    <t>13.4</t>
  </si>
  <si>
    <t>13.5</t>
  </si>
  <si>
    <t>BEBEDOURO CONJUGADO INOX H= 1,00M/1,12M ATENDE 40P</t>
  </si>
  <si>
    <t>10.47.08</t>
  </si>
  <si>
    <t>COMPOSIÇÃO 2</t>
  </si>
  <si>
    <t>TAPUME EM TELHA METÁLICA H=2,20M</t>
  </si>
  <si>
    <t>TRANSPORTE DE MATERIAL DE QUALQUER NATUREZA DMT &gt; 5 KM (DMT USADO 7 KM)</t>
  </si>
  <si>
    <t>LOCAL: PRAÇA EFIGENIA DE FREITAS, N° 1420 - MORRO DO CRUZEIRO</t>
  </si>
  <si>
    <t>h</t>
  </si>
  <si>
    <t>a1</t>
  </si>
  <si>
    <t>ELETRODUTO DE AÇO GALVANIZADO, CLASSE SEMI PESADO, DN 32 MM (1 1/4), APARENTE, INSTALADO EM TETO - FORNECIMENTO E INSTALAÇÃO.</t>
  </si>
  <si>
    <t>TRIBUTOS PRATICADOS NO MUNICÍPIO</t>
  </si>
  <si>
    <t xml:space="preserve">INSS </t>
  </si>
  <si>
    <t>PIS/COFINS</t>
  </si>
  <si>
    <t>Nos percentuais referentes a tributos deverá ser considerado para efeito de calculo o ISS do município ou correspondente na sua inserção no Simples Nacional;</t>
  </si>
  <si>
    <t>PIS-CER-015</t>
  </si>
  <si>
    <t>PISO CERÂMICO PEI-5 ANTIDERRAPANTE (PREÇO MÉDIO),
ASSENTADO COM ARGAMASSA PRÉ-FABRICADA, INCLUSIVE
REJUNTAMENTO</t>
  </si>
  <si>
    <t>2.4</t>
  </si>
  <si>
    <t>2.5</t>
  </si>
  <si>
    <t>PROJETO DE ESTRUTURA DE CONCRETO</t>
  </si>
  <si>
    <t>62.01.16</t>
  </si>
  <si>
    <t>1332,16</t>
  </si>
  <si>
    <t>Lagoa Santa, 25 de maio de 2018.</t>
  </si>
  <si>
    <t>PROJETO DE DRENAGEM PLUVIAL</t>
  </si>
  <si>
    <t>62.01.12</t>
  </si>
  <si>
    <t>3.14</t>
  </si>
  <si>
    <t>SPT-MOB-015</t>
  </si>
  <si>
    <t>MOBILIZAÇÃO E INSTALAÇÃO</t>
  </si>
  <si>
    <t xml:space="preserve"> </t>
  </si>
  <si>
    <t>GRACE LIMA DO AMARAL</t>
  </si>
  <si>
    <t>ENGENHEIRA CIVIL</t>
  </si>
  <si>
    <t xml:space="preserve">     ENGENHEIRA CIVIL</t>
  </si>
  <si>
    <t>PLANILHA ORÇAMENTÁRIA DE REFERÊNCIA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</si>
</sst>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."/>
    <numFmt numFmtId="171" formatCode="_(&quot;R$ &quot;* #,##0.00_);_(&quot;R$ &quot;* \(#,##0.00\);_(&quot;R$ &quot;* \-??_);_(@_)"/>
    <numFmt numFmtId="172" formatCode="_(* #,##0.00_);_(* \(#,##0.00\);_(* \-??_);_(@_)"/>
    <numFmt numFmtId="173" formatCode="#,##0.00\ ;&quot; (&quot;#,##0.00\);&quot; -&quot;#\ ;@\ 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#,##0.00&quot; &quot;;&quot; (&quot;#,##0.00&quot;)&quot;;&quot; -&quot;#&quot; &quot;;@&quot; &quot;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  <numFmt numFmtId="182" formatCode="0.00_ ;[Red]\-0.00\ "/>
    <numFmt numFmtId="183" formatCode="&quot;R$ &quot;#,##0.00"/>
    <numFmt numFmtId="184" formatCode="&quot;R$&quot;\ #,##0"/>
    <numFmt numFmtId="185" formatCode="&quot;R$&quot;\ #,##0.00"/>
    <numFmt numFmtId="186" formatCode="0.00000"/>
    <numFmt numFmtId="187" formatCode="_-* #,##0.00000_-;\-* #,##0.00000_-;_-* &quot;-&quot;??_-;_-@_-"/>
    <numFmt numFmtId="188" formatCode="_-[$R$-416]\ * #,##0.00_-;\-[$R$-416]\ * #,##0.00_-;_-[$R$-416]\ * &quot;-&quot;??_-;_-@_-"/>
    <numFmt numFmtId="189" formatCode="_-* #,##0.0000_-;\-* #,##0.0000_-;_-* &quot;-&quot;??_-;_-@_-"/>
    <numFmt numFmtId="190" formatCode="[$-416]dddd\,\ d&quot; de &quot;mmmm&quot; de &quot;yyyy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16"/>
      <name val="Courier New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"/>
      <color indexed="18"/>
      <name val="Courier New"/>
      <family val="3"/>
    </font>
    <font>
      <b/>
      <sz val="18"/>
      <color indexed="56"/>
      <name val="Cambria"/>
      <family val="2"/>
    </font>
    <font>
      <b/>
      <sz val="1"/>
      <color indexed="16"/>
      <name val="Courier New"/>
      <family val="3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1"/>
      <family val="0"/>
    </font>
    <font>
      <sz val="10"/>
      <color indexed="8"/>
      <name val="Arial1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1"/>
      <color indexed="16"/>
      <name val="Courier"/>
      <family val="0"/>
    </font>
    <font>
      <sz val="1"/>
      <color indexed="18"/>
      <name val="Courier"/>
      <family val="0"/>
    </font>
    <font>
      <b/>
      <sz val="1"/>
      <color indexed="16"/>
      <name val="Courier"/>
      <family val="0"/>
    </font>
    <font>
      <sz val="9"/>
      <color indexed="10"/>
      <name val="Geneva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rgb="FF000000"/>
      <name val="Arial1"/>
      <family val="0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8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5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5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3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56" fillId="4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6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6" fillId="4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6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56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6" fillId="47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57" fillId="5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57" borderId="1" applyNumberFormat="0" applyAlignment="0" applyProtection="0"/>
    <xf numFmtId="0" fontId="4" fillId="58" borderId="1" applyNumberFormat="0" applyAlignment="0" applyProtection="0"/>
    <xf numFmtId="0" fontId="58" fillId="59" borderId="2" applyNumberFormat="0" applyAlignment="0" applyProtection="0"/>
    <xf numFmtId="0" fontId="4" fillId="58" borderId="1" applyNumberFormat="0" applyAlignment="0" applyProtection="0"/>
    <xf numFmtId="0" fontId="4" fillId="58" borderId="1" applyNumberFormat="0" applyAlignment="0" applyProtection="0"/>
    <xf numFmtId="0" fontId="4" fillId="58" borderId="1" applyNumberFormat="0" applyAlignment="0" applyProtection="0"/>
    <xf numFmtId="0" fontId="4" fillId="58" borderId="1" applyNumberFormat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9" fillId="60" borderId="3" applyNumberFormat="0" applyAlignment="0" applyProtection="0"/>
    <xf numFmtId="0" fontId="5" fillId="61" borderId="4" applyNumberFormat="0" applyAlignment="0" applyProtection="0"/>
    <xf numFmtId="0" fontId="5" fillId="61" borderId="4" applyNumberFormat="0" applyAlignment="0" applyProtection="0"/>
    <xf numFmtId="0" fontId="5" fillId="61" borderId="4" applyNumberFormat="0" applyAlignment="0" applyProtection="0"/>
    <xf numFmtId="0" fontId="5" fillId="61" borderId="4" applyNumberFormat="0" applyAlignment="0" applyProtection="0"/>
    <xf numFmtId="0" fontId="60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5" fillId="62" borderId="4" applyNumberFormat="0" applyAlignment="0" applyProtection="0"/>
    <xf numFmtId="0" fontId="5" fillId="61" borderId="4" applyNumberFormat="0" applyAlignment="0" applyProtection="0"/>
    <xf numFmtId="170" fontId="6" fillId="0" borderId="0">
      <alignment/>
      <protection locked="0"/>
    </xf>
    <xf numFmtId="170" fontId="43" fillId="0" borderId="0">
      <alignment/>
      <protection locked="0"/>
    </xf>
    <xf numFmtId="170" fontId="43" fillId="0" borderId="0">
      <alignment/>
      <protection locked="0"/>
    </xf>
    <xf numFmtId="0" fontId="56" fillId="63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56" fillId="64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56" fillId="6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56" fillId="6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56" fillId="6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6" fillId="68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61" fillId="69" borderId="2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173" fontId="28" fillId="0" borderId="0" applyBorder="0" applyProtection="0">
      <alignment/>
    </xf>
    <xf numFmtId="176" fontId="62" fillId="0" borderId="0" applyBorder="0" applyProtection="0">
      <alignment/>
    </xf>
    <xf numFmtId="0" fontId="63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170" fontId="6" fillId="0" borderId="0">
      <alignment/>
      <protection locked="0"/>
    </xf>
    <xf numFmtId="170" fontId="43" fillId="0" borderId="0">
      <alignment/>
      <protection locked="0"/>
    </xf>
    <xf numFmtId="170" fontId="43" fillId="0" borderId="0">
      <alignment/>
      <protection locked="0"/>
    </xf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2" fillId="12" borderId="1" applyNumberFormat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0" fillId="0" borderId="0" applyFill="0" applyBorder="0" applyAlignment="0" applyProtection="0"/>
    <xf numFmtId="175" fontId="0" fillId="0" borderId="0" applyFont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1" borderId="0" applyNumberFormat="0" applyBorder="0" applyAlignment="0" applyProtection="0"/>
    <xf numFmtId="0" fontId="66" fillId="72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55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73" borderId="10" applyNumberFormat="0" applyFont="0" applyAlignment="0" applyProtection="0"/>
    <xf numFmtId="0" fontId="0" fillId="74" borderId="11" applyNumberFormat="0" applyFont="0" applyAlignment="0" applyProtection="0"/>
    <xf numFmtId="0" fontId="1" fillId="74" borderId="11" applyNumberFormat="0" applyFont="0" applyAlignment="0" applyProtection="0"/>
    <xf numFmtId="0" fontId="1" fillId="74" borderId="11" applyNumberFormat="0" applyFont="0" applyAlignment="0" applyProtection="0"/>
    <xf numFmtId="0" fontId="1" fillId="74" borderId="11" applyNumberFormat="0" applyFont="0" applyAlignment="0" applyProtection="0"/>
    <xf numFmtId="0" fontId="1" fillId="74" borderId="11" applyNumberFormat="0" applyFont="0" applyAlignment="0" applyProtection="0"/>
    <xf numFmtId="0" fontId="1" fillId="74" borderId="11" applyNumberFormat="0" applyFont="0" applyAlignment="0" applyProtection="0"/>
    <xf numFmtId="0" fontId="1" fillId="74" borderId="11" applyNumberFormat="0" applyFont="0" applyAlignment="0" applyProtection="0"/>
    <xf numFmtId="0" fontId="0" fillId="75" borderId="11" applyNumberFormat="0" applyAlignment="0" applyProtection="0"/>
    <xf numFmtId="0" fontId="16" fillId="57" borderId="12" applyNumberFormat="0" applyAlignment="0" applyProtection="0"/>
    <xf numFmtId="0" fontId="16" fillId="58" borderId="12" applyNumberFormat="0" applyAlignment="0" applyProtection="0"/>
    <xf numFmtId="170" fontId="6" fillId="0" borderId="0">
      <alignment/>
      <protection locked="0"/>
    </xf>
    <xf numFmtId="170" fontId="43" fillId="0" borderId="0">
      <alignment/>
      <protection locked="0"/>
    </xf>
    <xf numFmtId="170" fontId="43" fillId="0" borderId="0">
      <alignment/>
      <protection locked="0"/>
    </xf>
    <xf numFmtId="170" fontId="6" fillId="0" borderId="0">
      <alignment/>
      <protection locked="0"/>
    </xf>
    <xf numFmtId="170" fontId="43" fillId="0" borderId="0">
      <alignment/>
      <protection locked="0"/>
    </xf>
    <xf numFmtId="170" fontId="43" fillId="0" borderId="0">
      <alignment/>
      <protection locked="0"/>
    </xf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76" borderId="0" applyNumberFormat="0" applyBorder="0" applyAlignment="0" applyProtection="0"/>
    <xf numFmtId="0" fontId="69" fillId="59" borderId="13" applyNumberFormat="0" applyAlignment="0" applyProtection="0"/>
    <xf numFmtId="0" fontId="16" fillId="58" borderId="12" applyNumberFormat="0" applyAlignment="0" applyProtection="0"/>
    <xf numFmtId="0" fontId="16" fillId="58" borderId="12" applyNumberFormat="0" applyAlignment="0" applyProtection="0"/>
    <xf numFmtId="0" fontId="16" fillId="58" borderId="12" applyNumberFormat="0" applyAlignment="0" applyProtection="0"/>
    <xf numFmtId="0" fontId="16" fillId="58" borderId="12" applyNumberFormat="0" applyAlignment="0" applyProtection="0"/>
    <xf numFmtId="170" fontId="17" fillId="0" borderId="0">
      <alignment/>
      <protection locked="0"/>
    </xf>
    <xf numFmtId="170" fontId="44" fillId="0" borderId="0">
      <alignment/>
      <protection locked="0"/>
    </xf>
    <xf numFmtId="170" fontId="44" fillId="0" borderId="0">
      <alignment/>
      <protection locked="0"/>
    </xf>
    <xf numFmtId="41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4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74" fillId="0" borderId="15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75" fillId="0" borderId="16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0" fontId="19" fillId="0" borderId="0">
      <alignment/>
      <protection locked="0"/>
    </xf>
    <xf numFmtId="170" fontId="45" fillId="0" borderId="0">
      <alignment/>
      <protection locked="0"/>
    </xf>
    <xf numFmtId="170" fontId="45" fillId="0" borderId="0">
      <alignment/>
      <protection locked="0"/>
    </xf>
    <xf numFmtId="170" fontId="19" fillId="0" borderId="0">
      <alignment/>
      <protection locked="0"/>
    </xf>
    <xf numFmtId="170" fontId="45" fillId="0" borderId="0">
      <alignment/>
      <protection locked="0"/>
    </xf>
    <xf numFmtId="170" fontId="45" fillId="0" borderId="0">
      <alignment/>
      <protection locked="0"/>
    </xf>
    <xf numFmtId="0" fontId="76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43" fontId="0" fillId="0" borderId="0" applyFill="0" applyBorder="0" applyAlignment="0" applyProtection="0"/>
    <xf numFmtId="172" fontId="0" fillId="0" borderId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172" fontId="0" fillId="0" borderId="0" applyFill="0" applyBorder="0" applyAlignment="0" applyProtection="0"/>
    <xf numFmtId="43" fontId="15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54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3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horizontal="right" vertical="center"/>
    </xf>
    <xf numFmtId="0" fontId="23" fillId="0" borderId="0" xfId="0" applyFont="1" applyAlignment="1">
      <alignment/>
    </xf>
    <xf numFmtId="0" fontId="25" fillId="77" borderId="22" xfId="293" applyFont="1" applyFill="1" applyBorder="1" applyAlignment="1">
      <alignment horizontal="center" vertical="center"/>
      <protection/>
    </xf>
    <xf numFmtId="0" fontId="25" fillId="77" borderId="22" xfId="293" applyFont="1" applyFill="1" applyBorder="1" applyAlignment="1">
      <alignment horizontal="center"/>
      <protection/>
    </xf>
    <xf numFmtId="0" fontId="21" fillId="77" borderId="0" xfId="0" applyFont="1" applyFill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2" xfId="293" applyFont="1" applyFill="1" applyBorder="1" applyAlignment="1">
      <alignment horizontal="center" vertical="center"/>
      <protection/>
    </xf>
    <xf numFmtId="0" fontId="0" fillId="0" borderId="22" xfId="0" applyFont="1" applyBorder="1" applyAlignment="1">
      <alignment horizontal="left" vertical="center" wrapText="1"/>
    </xf>
    <xf numFmtId="4" fontId="0" fillId="0" borderId="22" xfId="430" applyNumberFormat="1" applyFont="1" applyFill="1" applyBorder="1" applyAlignment="1" applyProtection="1">
      <alignment horizontal="right" vertical="center"/>
      <protection/>
    </xf>
    <xf numFmtId="4" fontId="21" fillId="0" borderId="22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Alignment="1">
      <alignment/>
    </xf>
    <xf numFmtId="0" fontId="0" fillId="0" borderId="22" xfId="293" applyFont="1" applyBorder="1" applyAlignment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4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7" fillId="0" borderId="22" xfId="223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27" fillId="0" borderId="22" xfId="225" applyNumberFormat="1" applyFont="1" applyFill="1" applyBorder="1" applyAlignment="1">
      <alignment horizontal="center" vertical="center" wrapText="1"/>
      <protection/>
    </xf>
    <xf numFmtId="0" fontId="27" fillId="0" borderId="22" xfId="225" applyFont="1" applyFill="1" applyBorder="1" applyAlignment="1">
      <alignment horizontal="center" vertical="center" wrapText="1"/>
      <protection/>
    </xf>
    <xf numFmtId="0" fontId="0" fillId="0" borderId="22" xfId="295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4" fontId="21" fillId="0" borderId="22" xfId="368" applyNumberFormat="1" applyFont="1" applyFill="1" applyBorder="1" applyAlignment="1" applyProtection="1">
      <alignment horizontal="right" vertical="center"/>
      <protection/>
    </xf>
    <xf numFmtId="4" fontId="25" fillId="77" borderId="22" xfId="430" applyNumberFormat="1" applyFont="1" applyFill="1" applyBorder="1" applyAlignment="1" applyProtection="1">
      <alignment horizontal="right" vertical="center"/>
      <protection/>
    </xf>
    <xf numFmtId="4" fontId="21" fillId="77" borderId="22" xfId="368" applyNumberFormat="1" applyFont="1" applyFill="1" applyBorder="1" applyAlignment="1" applyProtection="1">
      <alignment horizontal="right" vertical="center"/>
      <protection/>
    </xf>
    <xf numFmtId="4" fontId="21" fillId="77" borderId="22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293" applyFont="1" applyFill="1" applyBorder="1" applyAlignment="1">
      <alignment horizontal="center" vertical="center" wrapText="1"/>
      <protection/>
    </xf>
    <xf numFmtId="0" fontId="0" fillId="0" borderId="22" xfId="293" applyFont="1" applyFill="1" applyBorder="1" applyAlignment="1">
      <alignment horizontal="left" vertical="center" wrapText="1"/>
      <protection/>
    </xf>
    <xf numFmtId="0" fontId="0" fillId="0" borderId="22" xfId="295" applyFont="1" applyFill="1" applyBorder="1" applyAlignment="1">
      <alignment horizontal="center" vertical="center" wrapText="1"/>
      <protection/>
    </xf>
    <xf numFmtId="0" fontId="0" fillId="0" borderId="22" xfId="295" applyFont="1" applyFill="1" applyBorder="1" applyAlignment="1">
      <alignment horizontal="left" vertical="center" wrapText="1"/>
      <protection/>
    </xf>
    <xf numFmtId="0" fontId="0" fillId="78" borderId="22" xfId="293" applyFont="1" applyFill="1" applyBorder="1" applyAlignment="1">
      <alignment horizontal="center" vertical="center"/>
      <protection/>
    </xf>
    <xf numFmtId="0" fontId="0" fillId="78" borderId="22" xfId="293" applyFont="1" applyFill="1" applyBorder="1" applyAlignment="1">
      <alignment horizontal="center" vertical="center" wrapText="1"/>
      <protection/>
    </xf>
    <xf numFmtId="4" fontId="0" fillId="78" borderId="22" xfId="43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4" fontId="0" fillId="0" borderId="22" xfId="428" applyNumberFormat="1" applyFont="1" applyFill="1" applyBorder="1" applyAlignment="1" applyProtection="1">
      <alignment horizontal="right" vertical="center"/>
      <protection/>
    </xf>
    <xf numFmtId="4" fontId="23" fillId="77" borderId="22" xfId="0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4" xfId="293" applyFont="1" applyFill="1" applyBorder="1" applyAlignment="1">
      <alignment horizontal="center" vertical="center" wrapText="1"/>
      <protection/>
    </xf>
    <xf numFmtId="4" fontId="26" fillId="77" borderId="22" xfId="0" applyNumberFormat="1" applyFont="1" applyFill="1" applyBorder="1" applyAlignment="1">
      <alignment horizontal="right" vertical="center" wrapText="1"/>
    </xf>
    <xf numFmtId="0" fontId="0" fillId="0" borderId="22" xfId="293" applyNumberFormat="1" applyFont="1" applyFill="1" applyBorder="1" applyAlignment="1">
      <alignment horizontal="center" vertical="center" wrapText="1"/>
      <protection/>
    </xf>
    <xf numFmtId="0" fontId="0" fillId="0" borderId="25" xfId="293" applyFont="1" applyFill="1" applyBorder="1" applyAlignment="1">
      <alignment horizontal="left" vertical="center" wrapText="1"/>
      <protection/>
    </xf>
    <xf numFmtId="0" fontId="0" fillId="0" borderId="25" xfId="295" applyFont="1" applyFill="1" applyBorder="1" applyAlignment="1">
      <alignment horizontal="left" vertical="center" wrapText="1"/>
      <protection/>
    </xf>
    <xf numFmtId="0" fontId="0" fillId="78" borderId="22" xfId="295" applyFont="1" applyFill="1" applyBorder="1" applyAlignment="1">
      <alignment horizontal="center" vertical="center"/>
      <protection/>
    </xf>
    <xf numFmtId="4" fontId="0" fillId="0" borderId="22" xfId="0" applyNumberFormat="1" applyFont="1" applyFill="1" applyBorder="1" applyAlignment="1">
      <alignment horizontal="right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78" borderId="22" xfId="293" applyFont="1" applyFill="1" applyBorder="1" applyAlignment="1">
      <alignment horizontal="left" vertical="center" wrapText="1"/>
      <protection/>
    </xf>
    <xf numFmtId="0" fontId="21" fillId="79" borderId="0" xfId="293" applyFont="1" applyFill="1" applyBorder="1" applyAlignment="1">
      <alignment horizontal="center" vertical="center" wrapText="1"/>
      <protection/>
    </xf>
    <xf numFmtId="4" fontId="21" fillId="79" borderId="0" xfId="0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>
      <alignment/>
    </xf>
    <xf numFmtId="4" fontId="0" fillId="0" borderId="22" xfId="295" applyNumberFormat="1" applyFont="1" applyFill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center" vertical="center" wrapText="1"/>
    </xf>
    <xf numFmtId="4" fontId="21" fillId="0" borderId="22" xfId="0" applyNumberFormat="1" applyFont="1" applyFill="1" applyBorder="1" applyAlignment="1" applyProtection="1">
      <alignment horizontal="right" vertical="center" wrapText="1"/>
      <protection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" fillId="0" borderId="0" xfId="311">
      <alignment/>
      <protection/>
    </xf>
    <xf numFmtId="0" fontId="25" fillId="20" borderId="24" xfId="294" applyFont="1" applyFill="1" applyBorder="1" applyAlignment="1">
      <alignment horizontal="center" vertical="center"/>
      <protection/>
    </xf>
    <xf numFmtId="4" fontId="25" fillId="20" borderId="22" xfId="294" applyNumberFormat="1" applyFont="1" applyFill="1" applyBorder="1" applyAlignment="1">
      <alignment horizontal="center" vertical="center" wrapText="1"/>
      <protection/>
    </xf>
    <xf numFmtId="0" fontId="25" fillId="20" borderId="22" xfId="294" applyFont="1" applyFill="1" applyBorder="1" applyAlignment="1">
      <alignment horizontal="center" vertical="center" wrapText="1"/>
      <protection/>
    </xf>
    <xf numFmtId="0" fontId="25" fillId="20" borderId="22" xfId="294" applyFont="1" applyFill="1" applyBorder="1" applyAlignment="1">
      <alignment horizontal="center" vertical="center"/>
      <protection/>
    </xf>
    <xf numFmtId="10" fontId="36" fillId="78" borderId="22" xfId="294" applyNumberFormat="1" applyFont="1" applyFill="1" applyBorder="1" applyAlignment="1">
      <alignment horizontal="right" vertical="top" wrapText="1"/>
      <protection/>
    </xf>
    <xf numFmtId="10" fontId="37" fillId="78" borderId="22" xfId="294" applyNumberFormat="1" applyFont="1" applyFill="1" applyBorder="1" applyAlignment="1">
      <alignment vertical="top" wrapText="1"/>
      <protection/>
    </xf>
    <xf numFmtId="10" fontId="37" fillId="0" borderId="22" xfId="294" applyNumberFormat="1" applyFont="1" applyFill="1" applyBorder="1" applyAlignment="1">
      <alignment vertical="top" wrapText="1"/>
      <protection/>
    </xf>
    <xf numFmtId="4" fontId="38" fillId="0" borderId="22" xfId="312" applyNumberFormat="1" applyFont="1" applyBorder="1" applyAlignment="1" applyProtection="1">
      <alignment vertical="center" wrapText="1"/>
      <protection/>
    </xf>
    <xf numFmtId="4" fontId="38" fillId="78" borderId="22" xfId="294" applyNumberFormat="1" applyFont="1" applyFill="1" applyBorder="1" applyAlignment="1">
      <alignment vertical="top" wrapText="1"/>
      <protection/>
    </xf>
    <xf numFmtId="10" fontId="36" fillId="78" borderId="22" xfId="330" applyNumberFormat="1" applyFont="1" applyFill="1" applyBorder="1" applyAlignment="1" applyProtection="1">
      <alignment horizontal="right" vertical="top" wrapText="1"/>
      <protection/>
    </xf>
    <xf numFmtId="9" fontId="39" fillId="78" borderId="22" xfId="330" applyFont="1" applyFill="1" applyBorder="1" applyAlignment="1" applyProtection="1">
      <alignment horizontal="center" vertical="top" wrapText="1"/>
      <protection/>
    </xf>
    <xf numFmtId="4" fontId="37" fillId="78" borderId="22" xfId="294" applyNumberFormat="1" applyFont="1" applyFill="1" applyBorder="1" applyAlignment="1">
      <alignment vertical="top" wrapText="1"/>
      <protection/>
    </xf>
    <xf numFmtId="0" fontId="25" fillId="78" borderId="28" xfId="294" applyFont="1" applyFill="1" applyBorder="1" applyAlignment="1">
      <alignment wrapText="1"/>
      <protection/>
    </xf>
    <xf numFmtId="4" fontId="21" fillId="0" borderId="29" xfId="0" applyNumberFormat="1" applyFont="1" applyFill="1" applyBorder="1" applyAlignment="1">
      <alignment horizontal="right" vertical="center" wrapText="1"/>
    </xf>
    <xf numFmtId="4" fontId="0" fillId="0" borderId="29" xfId="431" applyNumberFormat="1" applyFont="1" applyFill="1" applyBorder="1" applyAlignment="1" quotePrefix="1">
      <alignment horizontal="right" vertical="center"/>
    </xf>
    <xf numFmtId="4" fontId="0" fillId="0" borderId="29" xfId="0" applyNumberFormat="1" applyFont="1" applyFill="1" applyBorder="1" applyAlignment="1">
      <alignment horizontal="right" vertical="center" wrapText="1"/>
    </xf>
    <xf numFmtId="4" fontId="21" fillId="0" borderId="30" xfId="0" applyNumberFormat="1" applyFont="1" applyFill="1" applyBorder="1" applyAlignment="1">
      <alignment horizontal="right" vertical="center" wrapText="1"/>
    </xf>
    <xf numFmtId="0" fontId="0" fillId="0" borderId="29" xfId="293" applyFont="1" applyFill="1" applyBorder="1" applyAlignment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29" xfId="295" applyFont="1" applyFill="1" applyBorder="1" applyAlignment="1">
      <alignment horizontal="center" vertical="center"/>
      <protection/>
    </xf>
    <xf numFmtId="0" fontId="0" fillId="0" borderId="29" xfId="293" applyFont="1" applyFill="1" applyBorder="1" applyAlignment="1">
      <alignment horizontal="center" vertical="center" wrapText="1"/>
      <protection/>
    </xf>
    <xf numFmtId="0" fontId="0" fillId="0" borderId="29" xfId="293" applyFont="1" applyFill="1" applyBorder="1" applyAlignment="1">
      <alignment horizontal="left" vertical="center" wrapText="1"/>
      <protection/>
    </xf>
    <xf numFmtId="0" fontId="0" fillId="0" borderId="29" xfId="295" applyFont="1" applyFill="1" applyBorder="1" applyAlignment="1">
      <alignment horizontal="center" vertical="center" wrapText="1"/>
      <protection/>
    </xf>
    <xf numFmtId="0" fontId="0" fillId="0" borderId="29" xfId="295" applyFont="1" applyFill="1" applyBorder="1" applyAlignment="1">
      <alignment horizontal="left" vertical="center" wrapText="1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29" xfId="293" applyFont="1" applyFill="1" applyBorder="1" applyAlignment="1">
      <alignment vertical="center" wrapText="1"/>
      <protection/>
    </xf>
    <xf numFmtId="0" fontId="15" fillId="0" borderId="0" xfId="0" applyFont="1" applyBorder="1" applyAlignment="1">
      <alignment horizontal="left" vertical="center"/>
    </xf>
    <xf numFmtId="0" fontId="21" fillId="78" borderId="22" xfId="295" applyFont="1" applyFill="1" applyBorder="1" applyAlignment="1">
      <alignment horizontal="left" vertical="center" wrapText="1"/>
      <protection/>
    </xf>
    <xf numFmtId="4" fontId="21" fillId="78" borderId="22" xfId="368" applyNumberFormat="1" applyFont="1" applyFill="1" applyBorder="1" applyAlignment="1" applyProtection="1">
      <alignment horizontal="right" vertical="center"/>
      <protection/>
    </xf>
    <xf numFmtId="0" fontId="23" fillId="0" borderId="19" xfId="0" applyFont="1" applyFill="1" applyBorder="1" applyAlignment="1">
      <alignment horizontal="left" vertical="center"/>
    </xf>
    <xf numFmtId="0" fontId="27" fillId="0" borderId="22" xfId="223" applyNumberFormat="1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5" fillId="77" borderId="22" xfId="295" applyFont="1" applyFill="1" applyBorder="1" applyAlignment="1">
      <alignment horizontal="left" vertical="center" wrapText="1"/>
      <protection/>
    </xf>
    <xf numFmtId="0" fontId="27" fillId="0" borderId="22" xfId="225" applyFont="1" applyFill="1" applyBorder="1" applyAlignment="1">
      <alignment horizontal="left" vertical="center" wrapText="1"/>
      <protection/>
    </xf>
    <xf numFmtId="0" fontId="25" fillId="77" borderId="22" xfId="293" applyFont="1" applyFill="1" applyBorder="1" applyAlignment="1">
      <alignment horizontal="left" vertical="center" wrapText="1"/>
      <protection/>
    </xf>
    <xf numFmtId="0" fontId="21" fillId="78" borderId="22" xfId="293" applyFont="1" applyFill="1" applyBorder="1" applyAlignment="1">
      <alignment horizontal="center" vertical="center"/>
      <protection/>
    </xf>
    <xf numFmtId="4" fontId="0" fillId="0" borderId="29" xfId="430" applyNumberFormat="1" applyFont="1" applyFill="1" applyBorder="1" applyAlignment="1" quotePrefix="1">
      <alignment horizontal="right" vertical="center"/>
    </xf>
    <xf numFmtId="4" fontId="21" fillId="0" borderId="29" xfId="368" applyNumberFormat="1" applyFont="1" applyFill="1" applyBorder="1" applyAlignment="1">
      <alignment horizontal="right" vertical="center"/>
    </xf>
    <xf numFmtId="0" fontId="21" fillId="0" borderId="22" xfId="293" applyFont="1" applyFill="1" applyBorder="1" applyAlignment="1">
      <alignment horizontal="center" vertical="center"/>
      <protection/>
    </xf>
    <xf numFmtId="0" fontId="21" fillId="0" borderId="22" xfId="295" applyFont="1" applyFill="1" applyBorder="1" applyAlignment="1">
      <alignment horizontal="left" vertical="center" wrapText="1"/>
      <protection/>
    </xf>
    <xf numFmtId="0" fontId="21" fillId="0" borderId="22" xfId="293" applyFont="1" applyFill="1" applyBorder="1" applyAlignment="1">
      <alignment horizontal="center" vertical="center"/>
      <protection/>
    </xf>
    <xf numFmtId="4" fontId="21" fillId="0" borderId="22" xfId="430" applyNumberFormat="1" applyFont="1" applyFill="1" applyBorder="1" applyAlignment="1" applyProtection="1">
      <alignment horizontal="right" vertical="center"/>
      <protection/>
    </xf>
    <xf numFmtId="4" fontId="21" fillId="0" borderId="22" xfId="368" applyNumberFormat="1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5" fillId="77" borderId="24" xfId="293" applyFont="1" applyFill="1" applyBorder="1" applyAlignment="1">
      <alignment horizontal="center" vertical="center"/>
      <protection/>
    </xf>
    <xf numFmtId="0" fontId="25" fillId="77" borderId="24" xfId="293" applyFont="1" applyFill="1" applyBorder="1" applyAlignment="1">
      <alignment horizontal="center"/>
      <protection/>
    </xf>
    <xf numFmtId="0" fontId="25" fillId="77" borderId="24" xfId="295" applyFont="1" applyFill="1" applyBorder="1" applyAlignment="1">
      <alignment horizontal="left" vertical="center" wrapText="1"/>
      <protection/>
    </xf>
    <xf numFmtId="0" fontId="0" fillId="0" borderId="29" xfId="0" applyFont="1" applyFill="1" applyBorder="1" applyAlignment="1">
      <alignment vertical="center" wrapText="1"/>
    </xf>
    <xf numFmtId="49" fontId="0" fillId="0" borderId="29" xfId="312" applyNumberFormat="1" applyFont="1" applyFill="1" applyBorder="1" applyAlignment="1" applyProtection="1">
      <alignment horizontal="center" vertical="center" wrapText="1"/>
      <protection locked="0"/>
    </xf>
    <xf numFmtId="4" fontId="0" fillId="0" borderId="29" xfId="369" applyNumberFormat="1" applyFont="1" applyFill="1" applyBorder="1" applyAlignment="1">
      <alignment horizontal="right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" fontId="21" fillId="0" borderId="29" xfId="0" applyNumberFormat="1" applyFont="1" applyFill="1" applyBorder="1" applyAlignment="1">
      <alignment horizontal="right" vertical="center" wrapText="1"/>
    </xf>
    <xf numFmtId="4" fontId="21" fillId="0" borderId="29" xfId="363" applyNumberFormat="1" applyFont="1" applyFill="1" applyBorder="1" applyAlignment="1">
      <alignment horizontal="right" vertical="center" wrapText="1"/>
    </xf>
    <xf numFmtId="0" fontId="21" fillId="0" borderId="29" xfId="293" applyFont="1" applyFill="1" applyBorder="1" applyAlignment="1">
      <alignment horizontal="center" vertical="center" wrapText="1"/>
      <protection/>
    </xf>
    <xf numFmtId="4" fontId="0" fillId="0" borderId="29" xfId="363" applyNumberFormat="1" applyFont="1" applyFill="1" applyBorder="1" applyAlignment="1">
      <alignment horizontal="right"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49" fontId="21" fillId="0" borderId="29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left" vertical="center" wrapText="1"/>
    </xf>
    <xf numFmtId="0" fontId="0" fillId="0" borderId="0" xfId="279">
      <alignment/>
      <protection/>
    </xf>
    <xf numFmtId="0" fontId="41" fillId="80" borderId="0" xfId="279" applyFont="1" applyFill="1" applyBorder="1" applyAlignment="1" applyProtection="1">
      <alignment vertical="center"/>
      <protection/>
    </xf>
    <xf numFmtId="0" fontId="42" fillId="0" borderId="0" xfId="279" applyFont="1">
      <alignment/>
      <protection/>
    </xf>
    <xf numFmtId="0" fontId="0" fillId="0" borderId="0" xfId="279" applyFont="1">
      <alignment/>
      <protection/>
    </xf>
    <xf numFmtId="0" fontId="38" fillId="0" borderId="0" xfId="279" applyFont="1" applyBorder="1" applyAlignment="1" applyProtection="1">
      <alignment horizontal="left" vertical="center"/>
      <protection/>
    </xf>
    <xf numFmtId="0" fontId="37" fillId="7" borderId="33" xfId="279" applyFont="1" applyFill="1" applyBorder="1" applyAlignment="1" applyProtection="1">
      <alignment vertical="center"/>
      <protection locked="0"/>
    </xf>
    <xf numFmtId="0" fontId="38" fillId="0" borderId="0" xfId="279" applyFont="1" applyBorder="1" applyAlignment="1" applyProtection="1">
      <alignment vertical="center"/>
      <protection/>
    </xf>
    <xf numFmtId="0" fontId="38" fillId="7" borderId="33" xfId="279" applyFont="1" applyFill="1" applyBorder="1" applyAlignment="1" applyProtection="1">
      <alignment vertical="center"/>
      <protection locked="0"/>
    </xf>
    <xf numFmtId="0" fontId="0" fillId="0" borderId="0" xfId="279" applyBorder="1">
      <alignment/>
      <protection/>
    </xf>
    <xf numFmtId="0" fontId="38" fillId="7" borderId="34" xfId="279" applyFont="1" applyFill="1" applyBorder="1" applyAlignment="1" applyProtection="1">
      <alignment horizontal="left" vertical="center"/>
      <protection/>
    </xf>
    <xf numFmtId="10" fontId="38" fillId="7" borderId="34" xfId="279" applyNumberFormat="1" applyFont="1" applyFill="1" applyBorder="1" applyAlignment="1" applyProtection="1">
      <alignment vertical="center"/>
      <protection/>
    </xf>
    <xf numFmtId="0" fontId="38" fillId="7" borderId="35" xfId="279" applyFont="1" applyFill="1" applyBorder="1" applyAlignment="1" applyProtection="1">
      <alignment horizontal="center" vertical="center"/>
      <protection/>
    </xf>
    <xf numFmtId="0" fontId="38" fillId="7" borderId="36" xfId="279" applyFont="1" applyFill="1" applyBorder="1" applyAlignment="1" applyProtection="1">
      <alignment horizontal="left" vertical="center"/>
      <protection/>
    </xf>
    <xf numFmtId="10" fontId="38" fillId="7" borderId="36" xfId="279" applyNumberFormat="1" applyFont="1" applyFill="1" applyBorder="1" applyAlignment="1" applyProtection="1">
      <alignment vertical="center"/>
      <protection/>
    </xf>
    <xf numFmtId="0" fontId="38" fillId="7" borderId="37" xfId="279" applyFont="1" applyFill="1" applyBorder="1" applyAlignment="1" applyProtection="1">
      <alignment horizontal="center" vertical="center"/>
      <protection/>
    </xf>
    <xf numFmtId="0" fontId="38" fillId="7" borderId="38" xfId="279" applyFont="1" applyFill="1" applyBorder="1" applyAlignment="1" applyProtection="1">
      <alignment horizontal="left" vertical="center"/>
      <protection/>
    </xf>
    <xf numFmtId="0" fontId="0" fillId="7" borderId="39" xfId="279" applyFill="1" applyBorder="1">
      <alignment/>
      <protection/>
    </xf>
    <xf numFmtId="10" fontId="38" fillId="7" borderId="40" xfId="279" applyNumberFormat="1" applyFont="1" applyFill="1" applyBorder="1" applyAlignment="1" applyProtection="1">
      <alignment vertical="center"/>
      <protection/>
    </xf>
    <xf numFmtId="10" fontId="38" fillId="7" borderId="41" xfId="279" applyNumberFormat="1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>
      <alignment horizontal="center" vertical="center" wrapText="1"/>
    </xf>
    <xf numFmtId="4" fontId="0" fillId="0" borderId="22" xfId="293" applyNumberFormat="1" applyFont="1" applyFill="1" applyBorder="1" applyAlignment="1">
      <alignment horizontal="right" vertical="center" wrapText="1"/>
      <protection/>
    </xf>
    <xf numFmtId="0" fontId="0" fillId="0" borderId="23" xfId="0" applyFont="1" applyFill="1" applyBorder="1" applyAlignment="1">
      <alignment horizontal="left" vertical="center" wrapText="1"/>
    </xf>
    <xf numFmtId="0" fontId="0" fillId="0" borderId="23" xfId="293" applyFont="1" applyFill="1" applyBorder="1" applyAlignment="1">
      <alignment horizontal="center" vertical="center" wrapText="1"/>
      <protection/>
    </xf>
    <xf numFmtId="0" fontId="0" fillId="0" borderId="23" xfId="293" applyFont="1" applyFill="1" applyBorder="1" applyAlignment="1">
      <alignment horizontal="left" vertical="center" wrapText="1"/>
      <protection/>
    </xf>
    <xf numFmtId="0" fontId="21" fillId="0" borderId="32" xfId="0" applyNumberFormat="1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left" vertical="center"/>
    </xf>
    <xf numFmtId="0" fontId="23" fillId="0" borderId="29" xfId="0" applyFont="1" applyFill="1" applyBorder="1" applyAlignment="1">
      <alignment horizontal="center" vertical="center" wrapText="1"/>
    </xf>
    <xf numFmtId="0" fontId="25" fillId="21" borderId="22" xfId="295" applyFont="1" applyFill="1" applyBorder="1" applyAlignment="1">
      <alignment horizontal="center" vertical="center"/>
      <protection/>
    </xf>
    <xf numFmtId="0" fontId="0" fillId="21" borderId="22" xfId="295" applyFont="1" applyFill="1" applyBorder="1" applyAlignment="1">
      <alignment horizontal="center" vertical="center" wrapText="1"/>
      <protection/>
    </xf>
    <xf numFmtId="0" fontId="25" fillId="21" borderId="22" xfId="295" applyFont="1" applyFill="1" applyBorder="1" applyAlignment="1">
      <alignment horizontal="left" vertical="center" wrapText="1"/>
      <protection/>
    </xf>
    <xf numFmtId="4" fontId="0" fillId="21" borderId="22" xfId="428" applyNumberFormat="1" applyFont="1" applyFill="1" applyBorder="1" applyAlignment="1" applyProtection="1">
      <alignment horizontal="right" vertical="center"/>
      <protection/>
    </xf>
    <xf numFmtId="4" fontId="21" fillId="21" borderId="22" xfId="0" applyNumberFormat="1" applyFont="1" applyFill="1" applyBorder="1" applyAlignment="1">
      <alignment horizontal="right" vertical="center" wrapText="1"/>
    </xf>
    <xf numFmtId="0" fontId="25" fillId="21" borderId="22" xfId="293" applyFont="1" applyFill="1" applyBorder="1" applyAlignment="1">
      <alignment horizontal="center" vertical="center"/>
      <protection/>
    </xf>
    <xf numFmtId="0" fontId="25" fillId="21" borderId="22" xfId="293" applyFont="1" applyFill="1" applyBorder="1" applyAlignment="1">
      <alignment horizontal="center" vertical="center" wrapText="1"/>
      <protection/>
    </xf>
    <xf numFmtId="0" fontId="25" fillId="21" borderId="22" xfId="293" applyFont="1" applyFill="1" applyBorder="1" applyAlignment="1">
      <alignment horizontal="left" vertical="center" wrapText="1"/>
      <protection/>
    </xf>
    <xf numFmtId="0" fontId="0" fillId="81" borderId="22" xfId="293" applyFont="1" applyFill="1" applyBorder="1" applyAlignment="1">
      <alignment horizontal="center" vertical="center" wrapText="1"/>
      <protection/>
    </xf>
    <xf numFmtId="4" fontId="0" fillId="21" borderId="22" xfId="430" applyNumberFormat="1" applyFont="1" applyFill="1" applyBorder="1" applyAlignment="1" applyProtection="1">
      <alignment horizontal="right" vertical="center"/>
      <protection/>
    </xf>
    <xf numFmtId="0" fontId="0" fillId="21" borderId="22" xfId="293" applyFont="1" applyFill="1" applyBorder="1" applyAlignment="1">
      <alignment horizontal="center" vertical="center"/>
      <protection/>
    </xf>
    <xf numFmtId="0" fontId="25" fillId="21" borderId="24" xfId="293" applyFont="1" applyFill="1" applyBorder="1" applyAlignment="1">
      <alignment horizontal="center"/>
      <protection/>
    </xf>
    <xf numFmtId="0" fontId="25" fillId="21" borderId="24" xfId="295" applyFont="1" applyFill="1" applyBorder="1" applyAlignment="1">
      <alignment horizontal="left" vertical="center" wrapText="1"/>
      <protection/>
    </xf>
    <xf numFmtId="0" fontId="25" fillId="21" borderId="24" xfId="293" applyFont="1" applyFill="1" applyBorder="1" applyAlignment="1">
      <alignment horizontal="center" vertical="center"/>
      <protection/>
    </xf>
    <xf numFmtId="4" fontId="25" fillId="21" borderId="24" xfId="430" applyNumberFormat="1" applyFont="1" applyFill="1" applyBorder="1" applyAlignment="1" applyProtection="1">
      <alignment horizontal="right" vertical="center"/>
      <protection/>
    </xf>
    <xf numFmtId="49" fontId="48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29" xfId="0" applyNumberFormat="1" applyFont="1" applyFill="1" applyBorder="1" applyAlignment="1" applyProtection="1">
      <alignment vertical="center" wrapText="1"/>
      <protection/>
    </xf>
    <xf numFmtId="4" fontId="0" fillId="0" borderId="29" xfId="0" applyNumberFormat="1" applyFont="1" applyFill="1" applyBorder="1" applyAlignment="1" applyProtection="1">
      <alignment horizontal="right" vertical="center" wrapText="1"/>
      <protection/>
    </xf>
    <xf numFmtId="49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center" vertical="center" wrapText="1"/>
    </xf>
    <xf numFmtId="4" fontId="0" fillId="0" borderId="29" xfId="368" applyNumberFormat="1" applyFont="1" applyFill="1" applyBorder="1" applyAlignment="1">
      <alignment horizontal="right" vertical="center"/>
    </xf>
    <xf numFmtId="0" fontId="21" fillId="0" borderId="29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center" vertical="center" wrapText="1"/>
    </xf>
    <xf numFmtId="4" fontId="25" fillId="77" borderId="24" xfId="430" applyNumberFormat="1" applyFont="1" applyFill="1" applyBorder="1" applyAlignment="1" applyProtection="1">
      <alignment horizontal="right" vertical="center"/>
      <protection/>
    </xf>
    <xf numFmtId="4" fontId="21" fillId="77" borderId="24" xfId="368" applyNumberFormat="1" applyFont="1" applyFill="1" applyBorder="1" applyAlignment="1" applyProtection="1">
      <alignment horizontal="right" vertical="center"/>
      <protection/>
    </xf>
    <xf numFmtId="4" fontId="21" fillId="77" borderId="24" xfId="0" applyNumberFormat="1" applyFont="1" applyFill="1" applyBorder="1" applyAlignment="1">
      <alignment horizontal="right" vertical="center" wrapText="1"/>
    </xf>
    <xf numFmtId="0" fontId="23" fillId="82" borderId="32" xfId="0" applyNumberFormat="1" applyFont="1" applyFill="1" applyBorder="1" applyAlignment="1">
      <alignment horizontal="center" vertical="center" wrapText="1"/>
    </xf>
    <xf numFmtId="0" fontId="23" fillId="82" borderId="29" xfId="293" applyFont="1" applyFill="1" applyBorder="1" applyAlignment="1">
      <alignment horizontal="center" vertical="center" wrapText="1"/>
      <protection/>
    </xf>
    <xf numFmtId="0" fontId="23" fillId="82" borderId="29" xfId="293" applyFont="1" applyFill="1" applyBorder="1" applyAlignment="1">
      <alignment vertical="center" wrapText="1"/>
      <protection/>
    </xf>
    <xf numFmtId="0" fontId="23" fillId="82" borderId="29" xfId="0" applyFont="1" applyFill="1" applyBorder="1" applyAlignment="1">
      <alignment horizontal="center" vertical="center" wrapText="1"/>
    </xf>
    <xf numFmtId="4" fontId="21" fillId="82" borderId="29" xfId="363" applyNumberFormat="1" applyFont="1" applyFill="1" applyBorder="1" applyAlignment="1">
      <alignment horizontal="right" vertical="center" wrapText="1"/>
    </xf>
    <xf numFmtId="4" fontId="21" fillId="82" borderId="29" xfId="0" applyNumberFormat="1" applyFont="1" applyFill="1" applyBorder="1" applyAlignment="1">
      <alignment horizontal="right" vertical="center" wrapText="1"/>
    </xf>
    <xf numFmtId="4" fontId="23" fillId="82" borderId="29" xfId="0" applyNumberFormat="1" applyFont="1" applyFill="1" applyBorder="1" applyAlignment="1">
      <alignment horizontal="right" vertical="center" wrapText="1"/>
    </xf>
    <xf numFmtId="4" fontId="23" fillId="82" borderId="30" xfId="0" applyNumberFormat="1" applyFont="1" applyFill="1" applyBorder="1" applyAlignment="1">
      <alignment horizontal="right" vertical="center" wrapText="1"/>
    </xf>
    <xf numFmtId="0" fontId="23" fillId="82" borderId="43" xfId="0" applyNumberFormat="1" applyFont="1" applyFill="1" applyBorder="1" applyAlignment="1">
      <alignment horizontal="center" vertical="center" wrapText="1"/>
    </xf>
    <xf numFmtId="0" fontId="23" fillId="82" borderId="44" xfId="293" applyFont="1" applyFill="1" applyBorder="1" applyAlignment="1">
      <alignment horizontal="center" vertical="center" wrapText="1"/>
      <protection/>
    </xf>
    <xf numFmtId="0" fontId="23" fillId="82" borderId="44" xfId="293" applyFont="1" applyFill="1" applyBorder="1" applyAlignment="1">
      <alignment vertical="center" wrapText="1"/>
      <protection/>
    </xf>
    <xf numFmtId="0" fontId="23" fillId="82" borderId="44" xfId="0" applyFont="1" applyFill="1" applyBorder="1" applyAlignment="1">
      <alignment horizontal="center" vertical="center" wrapText="1"/>
    </xf>
    <xf numFmtId="4" fontId="21" fillId="82" borderId="44" xfId="363" applyNumberFormat="1" applyFont="1" applyFill="1" applyBorder="1" applyAlignment="1">
      <alignment horizontal="right" vertical="center" wrapText="1"/>
    </xf>
    <xf numFmtId="4" fontId="21" fillId="82" borderId="44" xfId="0" applyNumberFormat="1" applyFont="1" applyFill="1" applyBorder="1" applyAlignment="1">
      <alignment horizontal="right" vertical="center" wrapText="1"/>
    </xf>
    <xf numFmtId="4" fontId="23" fillId="82" borderId="44" xfId="0" applyNumberFormat="1" applyFont="1" applyFill="1" applyBorder="1" applyAlignment="1">
      <alignment horizontal="right" vertical="center" wrapText="1"/>
    </xf>
    <xf numFmtId="49" fontId="48" fillId="0" borderId="0" xfId="0" applyNumberFormat="1" applyFont="1" applyFill="1" applyBorder="1" applyAlignment="1" applyProtection="1">
      <alignment vertical="center" wrapText="1"/>
      <protection/>
    </xf>
    <xf numFmtId="0" fontId="21" fillId="77" borderId="0" xfId="0" applyFont="1" applyFill="1" applyBorder="1" applyAlignment="1">
      <alignment/>
    </xf>
    <xf numFmtId="182" fontId="0" fillId="0" borderId="29" xfId="293" applyNumberFormat="1" applyFont="1" applyFill="1" applyBorder="1" applyAlignment="1">
      <alignment horizontal="center" vertical="center" wrapText="1"/>
      <protection/>
    </xf>
    <xf numFmtId="4" fontId="0" fillId="0" borderId="29" xfId="368" applyNumberFormat="1" applyFont="1" applyFill="1" applyBorder="1" applyAlignment="1">
      <alignment horizontal="right" vertical="center" wrapText="1"/>
    </xf>
    <xf numFmtId="49" fontId="21" fillId="83" borderId="29" xfId="0" applyNumberFormat="1" applyFont="1" applyFill="1" applyBorder="1" applyAlignment="1" applyProtection="1">
      <alignment horizontal="center" vertical="center" wrapText="1"/>
      <protection/>
    </xf>
    <xf numFmtId="0" fontId="21" fillId="83" borderId="29" xfId="0" applyFont="1" applyFill="1" applyBorder="1" applyAlignment="1">
      <alignment horizontal="left" vertical="center" wrapText="1"/>
    </xf>
    <xf numFmtId="4" fontId="21" fillId="0" borderId="41" xfId="421" applyNumberFormat="1" applyFont="1" applyFill="1" applyBorder="1" applyAlignment="1">
      <alignment horizontal="right" vertical="center" wrapText="1"/>
    </xf>
    <xf numFmtId="49" fontId="21" fillId="0" borderId="29" xfId="0" applyNumberFormat="1" applyFont="1" applyFill="1" applyBorder="1" applyAlignment="1" applyProtection="1">
      <alignment horizontal="center" vertical="center" wrapText="1"/>
      <protection/>
    </xf>
    <xf numFmtId="182" fontId="21" fillId="0" borderId="29" xfId="293" applyNumberFormat="1" applyFont="1" applyFill="1" applyBorder="1" applyAlignment="1">
      <alignment horizontal="center" vertical="center" wrapText="1"/>
      <protection/>
    </xf>
    <xf numFmtId="49" fontId="0" fillId="83" borderId="31" xfId="0" applyNumberFormat="1" applyFont="1" applyFill="1" applyBorder="1" applyAlignment="1" applyProtection="1">
      <alignment horizontal="center" vertical="center" wrapText="1"/>
      <protection/>
    </xf>
    <xf numFmtId="0" fontId="23" fillId="82" borderId="29" xfId="0" applyNumberFormat="1" applyFont="1" applyFill="1" applyBorder="1" applyAlignment="1">
      <alignment horizontal="center" vertical="center" wrapText="1"/>
    </xf>
    <xf numFmtId="0" fontId="23" fillId="82" borderId="29" xfId="0" applyFont="1" applyFill="1" applyBorder="1" applyAlignment="1">
      <alignment horizontal="left" vertical="center" wrapText="1"/>
    </xf>
    <xf numFmtId="172" fontId="23" fillId="82" borderId="29" xfId="362" applyFont="1" applyFill="1" applyBorder="1" applyAlignment="1">
      <alignment horizontal="left" vertical="center" wrapText="1"/>
    </xf>
    <xf numFmtId="0" fontId="21" fillId="82" borderId="29" xfId="293" applyFont="1" applyFill="1" applyBorder="1" applyAlignment="1">
      <alignment horizontal="center" vertical="center" wrapText="1"/>
      <protection/>
    </xf>
    <xf numFmtId="0" fontId="23" fillId="82" borderId="29" xfId="293" applyFont="1" applyFill="1" applyBorder="1" applyAlignment="1">
      <alignment horizontal="left" vertical="center" wrapText="1"/>
      <protection/>
    </xf>
    <xf numFmtId="4" fontId="21" fillId="82" borderId="29" xfId="368" applyNumberFormat="1" applyFont="1" applyFill="1" applyBorder="1" applyAlignment="1">
      <alignment horizontal="right" vertical="center" wrapText="1"/>
    </xf>
    <xf numFmtId="0" fontId="25" fillId="21" borderId="22" xfId="293" applyFont="1" applyFill="1" applyBorder="1" applyAlignment="1">
      <alignment horizontal="center"/>
      <protection/>
    </xf>
    <xf numFmtId="4" fontId="21" fillId="21" borderId="22" xfId="368" applyNumberFormat="1" applyFont="1" applyFill="1" applyBorder="1" applyAlignment="1" applyProtection="1">
      <alignment horizontal="right" vertical="center"/>
      <protection/>
    </xf>
    <xf numFmtId="4" fontId="23" fillId="21" borderId="22" xfId="368" applyNumberFormat="1" applyFont="1" applyFill="1" applyBorder="1" applyAlignment="1" applyProtection="1">
      <alignment horizontal="right" vertical="center"/>
      <protection/>
    </xf>
    <xf numFmtId="4" fontId="23" fillId="21" borderId="22" xfId="0" applyNumberFormat="1" applyFont="1" applyFill="1" applyBorder="1" applyAlignment="1">
      <alignment horizontal="right" vertical="center" wrapText="1"/>
    </xf>
    <xf numFmtId="0" fontId="0" fillId="21" borderId="29" xfId="293" applyFont="1" applyFill="1" applyBorder="1" applyAlignment="1">
      <alignment horizontal="center" vertical="center" wrapText="1"/>
      <protection/>
    </xf>
    <xf numFmtId="0" fontId="25" fillId="21" borderId="29" xfId="293" applyFont="1" applyFill="1" applyBorder="1" applyAlignment="1">
      <alignment vertical="center" wrapText="1"/>
      <protection/>
    </xf>
    <xf numFmtId="0" fontId="25" fillId="21" borderId="29" xfId="293" applyFont="1" applyFill="1" applyBorder="1" applyAlignment="1">
      <alignment horizontal="center" vertical="center" wrapText="1"/>
      <protection/>
    </xf>
    <xf numFmtId="4" fontId="0" fillId="21" borderId="29" xfId="0" applyNumberFormat="1" applyFont="1" applyFill="1" applyBorder="1" applyAlignment="1">
      <alignment horizontal="right" vertical="center" wrapText="1"/>
    </xf>
    <xf numFmtId="4" fontId="0" fillId="21" borderId="30" xfId="0" applyNumberFormat="1" applyFont="1" applyFill="1" applyBorder="1" applyAlignment="1">
      <alignment horizontal="right" vertical="center" wrapText="1"/>
    </xf>
    <xf numFmtId="0" fontId="21" fillId="21" borderId="29" xfId="293" applyFont="1" applyFill="1" applyBorder="1" applyAlignment="1">
      <alignment horizontal="center" vertical="center" wrapText="1"/>
      <protection/>
    </xf>
    <xf numFmtId="0" fontId="23" fillId="21" borderId="29" xfId="293" applyFont="1" applyFill="1" applyBorder="1" applyAlignment="1">
      <alignment horizontal="left" vertical="center" wrapText="1"/>
      <protection/>
    </xf>
    <xf numFmtId="4" fontId="21" fillId="21" borderId="29" xfId="368" applyNumberFormat="1" applyFont="1" applyFill="1" applyBorder="1" applyAlignment="1">
      <alignment horizontal="right" vertical="center" wrapText="1"/>
    </xf>
    <xf numFmtId="4" fontId="21" fillId="21" borderId="29" xfId="0" applyNumberFormat="1" applyFont="1" applyFill="1" applyBorder="1" applyAlignment="1">
      <alignment horizontal="right" vertical="center" wrapText="1"/>
    </xf>
    <xf numFmtId="4" fontId="21" fillId="21" borderId="30" xfId="0" applyNumberFormat="1" applyFont="1" applyFill="1" applyBorder="1" applyAlignment="1">
      <alignment horizontal="right" vertical="center" wrapText="1"/>
    </xf>
    <xf numFmtId="0" fontId="23" fillId="21" borderId="29" xfId="293" applyFont="1" applyFill="1" applyBorder="1" applyAlignment="1">
      <alignment horizontal="center" vertical="center" wrapText="1"/>
      <protection/>
    </xf>
    <xf numFmtId="0" fontId="23" fillId="21" borderId="29" xfId="293" applyFont="1" applyFill="1" applyBorder="1" applyAlignment="1">
      <alignment vertical="center" wrapText="1"/>
      <protection/>
    </xf>
    <xf numFmtId="0" fontId="23" fillId="21" borderId="29" xfId="0" applyFont="1" applyFill="1" applyBorder="1" applyAlignment="1">
      <alignment horizontal="center" vertical="center" wrapText="1"/>
    </xf>
    <xf numFmtId="4" fontId="23" fillId="21" borderId="29" xfId="0" applyNumberFormat="1" applyFont="1" applyFill="1" applyBorder="1" applyAlignment="1">
      <alignment horizontal="right" vertical="center" wrapText="1"/>
    </xf>
    <xf numFmtId="4" fontId="23" fillId="21" borderId="30" xfId="0" applyNumberFormat="1" applyFont="1" applyFill="1" applyBorder="1" applyAlignment="1">
      <alignment horizontal="right" vertical="center" wrapText="1"/>
    </xf>
    <xf numFmtId="4" fontId="26" fillId="21" borderId="22" xfId="368" applyNumberFormat="1" applyFont="1" applyFill="1" applyBorder="1" applyAlignment="1" applyProtection="1">
      <alignment horizontal="right" vertical="center"/>
      <protection/>
    </xf>
    <xf numFmtId="4" fontId="26" fillId="21" borderId="22" xfId="0" applyNumberFormat="1" applyFont="1" applyFill="1" applyBorder="1" applyAlignment="1">
      <alignment horizontal="right" vertical="center" wrapText="1"/>
    </xf>
    <xf numFmtId="0" fontId="0" fillId="21" borderId="22" xfId="293" applyFont="1" applyFill="1" applyBorder="1" applyAlignment="1">
      <alignment horizontal="center" vertical="center" wrapText="1"/>
      <protection/>
    </xf>
    <xf numFmtId="0" fontId="0" fillId="21" borderId="22" xfId="0" applyFont="1" applyFill="1" applyBorder="1" applyAlignment="1">
      <alignment horizontal="center" vertical="center"/>
    </xf>
    <xf numFmtId="0" fontId="25" fillId="21" borderId="22" xfId="0" applyFont="1" applyFill="1" applyBorder="1" applyAlignment="1">
      <alignment horizontal="center" vertical="center" wrapText="1"/>
    </xf>
    <xf numFmtId="0" fontId="25" fillId="21" borderId="22" xfId="0" applyFont="1" applyFill="1" applyBorder="1" applyAlignment="1">
      <alignment horizontal="left" vertical="center" wrapText="1"/>
    </xf>
    <xf numFmtId="2" fontId="0" fillId="21" borderId="22" xfId="293" applyNumberFormat="1" applyFont="1" applyFill="1" applyBorder="1" applyAlignment="1">
      <alignment horizontal="center" vertical="center" wrapText="1"/>
      <protection/>
    </xf>
    <xf numFmtId="0" fontId="25" fillId="21" borderId="23" xfId="293" applyFont="1" applyFill="1" applyBorder="1" applyAlignment="1">
      <alignment horizontal="left" vertical="center" wrapText="1"/>
      <protection/>
    </xf>
    <xf numFmtId="0" fontId="0" fillId="21" borderId="23" xfId="0" applyFont="1" applyFill="1" applyBorder="1" applyAlignment="1">
      <alignment horizontal="center" vertical="center"/>
    </xf>
    <xf numFmtId="0" fontId="25" fillId="81" borderId="22" xfId="295" applyFont="1" applyFill="1" applyBorder="1" applyAlignment="1">
      <alignment horizontal="center" vertical="center"/>
      <protection/>
    </xf>
    <xf numFmtId="0" fontId="25" fillId="81" borderId="22" xfId="295" applyFont="1" applyFill="1" applyBorder="1" applyAlignment="1">
      <alignment horizontal="left" vertical="center" wrapText="1"/>
      <protection/>
    </xf>
    <xf numFmtId="0" fontId="0" fillId="81" borderId="22" xfId="295" applyFont="1" applyFill="1" applyBorder="1" applyAlignment="1">
      <alignment horizontal="center" vertical="center"/>
      <protection/>
    </xf>
    <xf numFmtId="0" fontId="0" fillId="21" borderId="22" xfId="295" applyFont="1" applyFill="1" applyBorder="1" applyAlignment="1">
      <alignment horizontal="center" vertical="center"/>
      <protection/>
    </xf>
    <xf numFmtId="0" fontId="23" fillId="21" borderId="32" xfId="0" applyNumberFormat="1" applyFont="1" applyFill="1" applyBorder="1" applyAlignment="1">
      <alignment horizontal="center" vertical="center" wrapText="1"/>
    </xf>
    <xf numFmtId="0" fontId="25" fillId="21" borderId="32" xfId="0" applyNumberFormat="1" applyFont="1" applyFill="1" applyBorder="1" applyAlignment="1">
      <alignment horizontal="center" vertical="center" wrapText="1"/>
    </xf>
    <xf numFmtId="10" fontId="36" fillId="78" borderId="27" xfId="294" applyNumberFormat="1" applyFont="1" applyFill="1" applyBorder="1" applyAlignment="1">
      <alignment horizontal="right" vertical="top" wrapText="1"/>
      <protection/>
    </xf>
    <xf numFmtId="4" fontId="39" fillId="78" borderId="22" xfId="330" applyNumberFormat="1" applyFont="1" applyFill="1" applyBorder="1" applyAlignment="1" applyProtection="1">
      <alignment horizontal="center" vertical="top" wrapText="1"/>
      <protection/>
    </xf>
    <xf numFmtId="4" fontId="36" fillId="78" borderId="22" xfId="294" applyNumberFormat="1" applyFont="1" applyFill="1" applyBorder="1" applyAlignment="1">
      <alignment horizontal="right" vertical="top" wrapText="1"/>
      <protection/>
    </xf>
    <xf numFmtId="0" fontId="0" fillId="42" borderId="22" xfId="293" applyFont="1" applyFill="1" applyBorder="1" applyAlignment="1">
      <alignment horizontal="center" vertical="center"/>
      <protection/>
    </xf>
    <xf numFmtId="0" fontId="25" fillId="42" borderId="22" xfId="293" applyFont="1" applyFill="1" applyBorder="1" applyAlignment="1">
      <alignment horizontal="left" vertical="center" wrapText="1"/>
      <protection/>
    </xf>
    <xf numFmtId="4" fontId="0" fillId="42" borderId="22" xfId="430" applyNumberFormat="1" applyFont="1" applyFill="1" applyBorder="1" applyAlignment="1" applyProtection="1">
      <alignment horizontal="right" vertical="center"/>
      <protection/>
    </xf>
    <xf numFmtId="4" fontId="21" fillId="42" borderId="22" xfId="0" applyNumberFormat="1" applyFont="1" applyFill="1" applyBorder="1" applyAlignment="1">
      <alignment horizontal="right" vertical="center" wrapText="1"/>
    </xf>
    <xf numFmtId="4" fontId="21" fillId="0" borderId="29" xfId="0" applyNumberFormat="1" applyFont="1" applyFill="1" applyBorder="1" applyAlignment="1" applyProtection="1">
      <alignment horizontal="right" vertical="center" wrapText="1"/>
      <protection/>
    </xf>
    <xf numFmtId="4" fontId="21" fillId="0" borderId="29" xfId="368" applyNumberFormat="1" applyFont="1" applyFill="1" applyBorder="1" applyAlignment="1">
      <alignment horizontal="right" vertical="center" wrapText="1"/>
    </xf>
    <xf numFmtId="0" fontId="25" fillId="77" borderId="23" xfId="293" applyFont="1" applyFill="1" applyBorder="1" applyAlignment="1">
      <alignment horizontal="center" vertical="center"/>
      <protection/>
    </xf>
    <xf numFmtId="0" fontId="25" fillId="77" borderId="23" xfId="293" applyFont="1" applyFill="1" applyBorder="1" applyAlignment="1">
      <alignment horizontal="center"/>
      <protection/>
    </xf>
    <xf numFmtId="0" fontId="25" fillId="77" borderId="23" xfId="293" applyFont="1" applyFill="1" applyBorder="1" applyAlignment="1">
      <alignment horizontal="left" vertical="center" wrapText="1"/>
      <protection/>
    </xf>
    <xf numFmtId="4" fontId="25" fillId="77" borderId="23" xfId="430" applyNumberFormat="1" applyFont="1" applyFill="1" applyBorder="1" applyAlignment="1" applyProtection="1">
      <alignment horizontal="right" vertical="center"/>
      <protection/>
    </xf>
    <xf numFmtId="4" fontId="21" fillId="77" borderId="23" xfId="368" applyNumberFormat="1" applyFont="1" applyFill="1" applyBorder="1" applyAlignment="1" applyProtection="1">
      <alignment horizontal="right" vertical="center"/>
      <protection/>
    </xf>
    <xf numFmtId="4" fontId="21" fillId="77" borderId="23" xfId="0" applyNumberFormat="1" applyFont="1" applyFill="1" applyBorder="1" applyAlignment="1">
      <alignment horizontal="right" vertical="center" wrapText="1"/>
    </xf>
    <xf numFmtId="4" fontId="21" fillId="0" borderId="29" xfId="368" applyNumberFormat="1" applyFont="1" applyFill="1" applyBorder="1" applyAlignment="1" applyProtection="1">
      <alignment horizontal="right" vertical="center"/>
      <protection/>
    </xf>
    <xf numFmtId="4" fontId="0" fillId="0" borderId="29" xfId="430" applyNumberFormat="1" applyFont="1" applyFill="1" applyBorder="1" applyAlignment="1" applyProtection="1">
      <alignment horizontal="right" vertical="center"/>
      <protection/>
    </xf>
    <xf numFmtId="0" fontId="0" fillId="0" borderId="42" xfId="0" applyFont="1" applyFill="1" applyBorder="1" applyAlignment="1">
      <alignment horizontal="center" vertical="center"/>
    </xf>
    <xf numFmtId="10" fontId="37" fillId="84" borderId="22" xfId="294" applyNumberFormat="1" applyFont="1" applyFill="1" applyBorder="1" applyAlignment="1">
      <alignment vertical="top" wrapText="1"/>
      <protection/>
    </xf>
    <xf numFmtId="0" fontId="25" fillId="78" borderId="45" xfId="294" applyFont="1" applyFill="1" applyBorder="1" applyAlignment="1">
      <alignment vertical="center"/>
      <protection/>
    </xf>
    <xf numFmtId="0" fontId="25" fillId="78" borderId="46" xfId="294" applyFont="1" applyFill="1" applyBorder="1" applyAlignment="1">
      <alignment horizontal="left" vertical="center"/>
      <protection/>
    </xf>
    <xf numFmtId="0" fontId="25" fillId="78" borderId="47" xfId="294" applyFont="1" applyFill="1" applyBorder="1" applyAlignment="1">
      <alignment horizontal="center" vertical="center" wrapText="1"/>
      <protection/>
    </xf>
    <xf numFmtId="0" fontId="25" fillId="20" borderId="48" xfId="294" applyFont="1" applyFill="1" applyBorder="1" applyAlignment="1">
      <alignment horizontal="center" vertical="center"/>
      <protection/>
    </xf>
    <xf numFmtId="0" fontId="25" fillId="20" borderId="49" xfId="294" applyFont="1" applyFill="1" applyBorder="1" applyAlignment="1">
      <alignment horizontal="center" vertical="center"/>
      <protection/>
    </xf>
    <xf numFmtId="10" fontId="37" fillId="84" borderId="49" xfId="294" applyNumberFormat="1" applyFont="1" applyFill="1" applyBorder="1" applyAlignment="1">
      <alignment vertical="top" wrapText="1"/>
      <protection/>
    </xf>
    <xf numFmtId="4" fontId="36" fillId="78" borderId="49" xfId="294" applyNumberFormat="1" applyFont="1" applyFill="1" applyBorder="1" applyAlignment="1">
      <alignment vertical="top" wrapText="1"/>
      <protection/>
    </xf>
    <xf numFmtId="4" fontId="36" fillId="0" borderId="49" xfId="294" applyNumberFormat="1" applyFont="1" applyFill="1" applyBorder="1" applyAlignment="1">
      <alignment vertical="top" wrapText="1"/>
      <protection/>
    </xf>
    <xf numFmtId="4" fontId="36" fillId="78" borderId="49" xfId="294" applyNumberFormat="1" applyFont="1" applyFill="1" applyBorder="1" applyAlignment="1">
      <alignment horizontal="right" vertical="top" wrapText="1"/>
      <protection/>
    </xf>
    <xf numFmtId="10" fontId="37" fillId="78" borderId="49" xfId="294" applyNumberFormat="1" applyFont="1" applyFill="1" applyBorder="1" applyAlignment="1">
      <alignment vertical="top" wrapText="1"/>
      <protection/>
    </xf>
    <xf numFmtId="4" fontId="37" fillId="78" borderId="49" xfId="294" applyNumberFormat="1" applyFont="1" applyFill="1" applyBorder="1" applyAlignment="1">
      <alignment vertical="top" wrapText="1"/>
      <protection/>
    </xf>
    <xf numFmtId="0" fontId="25" fillId="78" borderId="45" xfId="294" applyFont="1" applyFill="1" applyBorder="1" applyAlignment="1">
      <alignment wrapText="1"/>
      <protection/>
    </xf>
    <xf numFmtId="0" fontId="25" fillId="78" borderId="50" xfId="294" applyFont="1" applyFill="1" applyBorder="1" applyAlignment="1">
      <alignment/>
      <protection/>
    </xf>
    <xf numFmtId="0" fontId="23" fillId="0" borderId="51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right" vertical="center"/>
    </xf>
    <xf numFmtId="0" fontId="23" fillId="0" borderId="50" xfId="0" applyFont="1" applyFill="1" applyBorder="1" applyAlignment="1">
      <alignment horizontal="right" vertical="center"/>
    </xf>
    <xf numFmtId="10" fontId="23" fillId="79" borderId="49" xfId="0" applyNumberFormat="1" applyFont="1" applyFill="1" applyBorder="1" applyAlignment="1">
      <alignment horizontal="right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 wrapText="1"/>
    </xf>
    <xf numFmtId="4" fontId="21" fillId="0" borderId="49" xfId="0" applyNumberFormat="1" applyFont="1" applyFill="1" applyBorder="1" applyAlignment="1">
      <alignment horizontal="right" vertical="center" wrapText="1"/>
    </xf>
    <xf numFmtId="4" fontId="23" fillId="82" borderId="53" xfId="0" applyNumberFormat="1" applyFont="1" applyFill="1" applyBorder="1" applyAlignment="1">
      <alignment horizontal="right" vertical="center" wrapText="1"/>
    </xf>
    <xf numFmtId="4" fontId="23" fillId="77" borderId="54" xfId="0" applyNumberFormat="1" applyFont="1" applyFill="1" applyBorder="1" applyAlignment="1">
      <alignment horizontal="right" vertical="center" wrapText="1"/>
    </xf>
    <xf numFmtId="0" fontId="21" fillId="0" borderId="55" xfId="293" applyFont="1" applyFill="1" applyBorder="1" applyAlignment="1">
      <alignment horizontal="center" vertical="center"/>
      <protection/>
    </xf>
    <xf numFmtId="0" fontId="21" fillId="0" borderId="48" xfId="0" applyFont="1" applyFill="1" applyBorder="1" applyAlignment="1">
      <alignment horizontal="center" vertical="center"/>
    </xf>
    <xf numFmtId="0" fontId="25" fillId="77" borderId="55" xfId="293" applyFont="1" applyFill="1" applyBorder="1" applyAlignment="1">
      <alignment horizontal="center" vertical="center"/>
      <protection/>
    </xf>
    <xf numFmtId="0" fontId="0" fillId="0" borderId="48" xfId="0" applyFont="1" applyFill="1" applyBorder="1" applyAlignment="1">
      <alignment horizontal="center" vertical="center" wrapText="1"/>
    </xf>
    <xf numFmtId="0" fontId="25" fillId="77" borderId="48" xfId="293" applyFont="1" applyFill="1" applyBorder="1" applyAlignment="1">
      <alignment horizontal="center" vertical="center"/>
      <protection/>
    </xf>
    <xf numFmtId="4" fontId="23" fillId="77" borderId="49" xfId="0" applyNumberFormat="1" applyFont="1" applyFill="1" applyBorder="1" applyAlignment="1">
      <alignment horizontal="right" vertical="center" wrapText="1"/>
    </xf>
    <xf numFmtId="0" fontId="25" fillId="21" borderId="48" xfId="293" applyFont="1" applyFill="1" applyBorder="1" applyAlignment="1">
      <alignment horizontal="center" vertical="center"/>
      <protection/>
    </xf>
    <xf numFmtId="4" fontId="23" fillId="21" borderId="49" xfId="0" applyNumberFormat="1" applyFont="1" applyFill="1" applyBorder="1" applyAlignment="1">
      <alignment horizontal="right" vertical="center" wrapText="1"/>
    </xf>
    <xf numFmtId="0" fontId="0" fillId="0" borderId="48" xfId="293" applyFont="1" applyFill="1" applyBorder="1" applyAlignment="1">
      <alignment horizontal="center" vertical="center"/>
      <protection/>
    </xf>
    <xf numFmtId="4" fontId="26" fillId="21" borderId="49" xfId="0" applyNumberFormat="1" applyFont="1" applyFill="1" applyBorder="1" applyAlignment="1">
      <alignment horizontal="right" vertical="center" wrapText="1"/>
    </xf>
    <xf numFmtId="4" fontId="21" fillId="21" borderId="49" xfId="0" applyNumberFormat="1" applyFont="1" applyFill="1" applyBorder="1" applyAlignment="1">
      <alignment horizontal="right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25" fillId="42" borderId="56" xfId="0" applyFont="1" applyFill="1" applyBorder="1" applyAlignment="1">
      <alignment horizontal="center" vertical="center" wrapText="1"/>
    </xf>
    <xf numFmtId="4" fontId="21" fillId="42" borderId="49" xfId="0" applyNumberFormat="1" applyFont="1" applyFill="1" applyBorder="1" applyAlignment="1">
      <alignment horizontal="right" vertical="center" wrapText="1"/>
    </xf>
    <xf numFmtId="0" fontId="0" fillId="0" borderId="56" xfId="0" applyFont="1" applyBorder="1" applyAlignment="1">
      <alignment horizontal="center" vertical="center" wrapText="1"/>
    </xf>
    <xf numFmtId="0" fontId="25" fillId="21" borderId="48" xfId="0" applyFont="1" applyFill="1" applyBorder="1" applyAlignment="1">
      <alignment horizontal="center" vertical="center"/>
    </xf>
    <xf numFmtId="0" fontId="0" fillId="0" borderId="48" xfId="295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 horizontal="center" vertical="center" wrapText="1"/>
    </xf>
    <xf numFmtId="0" fontId="25" fillId="77" borderId="56" xfId="293" applyFont="1" applyFill="1" applyBorder="1" applyAlignment="1">
      <alignment horizontal="center" vertical="center"/>
      <protection/>
    </xf>
    <xf numFmtId="4" fontId="23" fillId="77" borderId="57" xfId="0" applyNumberFormat="1" applyFont="1" applyFill="1" applyBorder="1" applyAlignment="1">
      <alignment horizontal="right" vertical="center" wrapText="1"/>
    </xf>
    <xf numFmtId="0" fontId="0" fillId="0" borderId="32" xfId="293" applyFont="1" applyFill="1" applyBorder="1" applyAlignment="1">
      <alignment horizontal="center" vertical="center"/>
      <protection/>
    </xf>
    <xf numFmtId="0" fontId="25" fillId="21" borderId="48" xfId="0" applyFont="1" applyFill="1" applyBorder="1" applyAlignment="1">
      <alignment horizontal="center" vertical="center" wrapText="1"/>
    </xf>
    <xf numFmtId="0" fontId="25" fillId="81" borderId="48" xfId="295" applyFont="1" applyFill="1" applyBorder="1" applyAlignment="1">
      <alignment horizontal="center" vertical="center"/>
      <protection/>
    </xf>
    <xf numFmtId="0" fontId="23" fillId="21" borderId="48" xfId="0" applyFont="1" applyFill="1" applyBorder="1" applyAlignment="1">
      <alignment horizontal="center" vertical="center" wrapText="1"/>
    </xf>
    <xf numFmtId="0" fontId="0" fillId="78" borderId="48" xfId="293" applyFont="1" applyFill="1" applyBorder="1" applyAlignment="1">
      <alignment horizontal="center" vertical="center"/>
      <protection/>
    </xf>
    <xf numFmtId="0" fontId="0" fillId="0" borderId="48" xfId="293" applyFont="1" applyFill="1" applyBorder="1" applyAlignment="1">
      <alignment horizontal="center" vertical="center" wrapText="1"/>
      <protection/>
    </xf>
    <xf numFmtId="0" fontId="25" fillId="21" borderId="48" xfId="295" applyFont="1" applyFill="1" applyBorder="1" applyAlignment="1">
      <alignment horizontal="center" vertical="center"/>
      <protection/>
    </xf>
    <xf numFmtId="0" fontId="21" fillId="0" borderId="48" xfId="0" applyNumberFormat="1" applyFont="1" applyFill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4" fontId="32" fillId="0" borderId="46" xfId="0" applyNumberFormat="1" applyFont="1" applyBorder="1" applyAlignment="1">
      <alignment horizontal="right" vertical="center" wrapText="1"/>
    </xf>
    <xf numFmtId="0" fontId="21" fillId="0" borderId="58" xfId="0" applyFont="1" applyBorder="1" applyAlignment="1">
      <alignment horizontal="center" vertical="center"/>
    </xf>
    <xf numFmtId="0" fontId="33" fillId="0" borderId="46" xfId="0" applyFont="1" applyBorder="1" applyAlignment="1">
      <alignment horizontal="right" vertical="center"/>
    </xf>
    <xf numFmtId="0" fontId="21" fillId="0" borderId="58" xfId="0" applyFont="1" applyBorder="1" applyAlignment="1">
      <alignment/>
    </xf>
    <xf numFmtId="0" fontId="21" fillId="0" borderId="46" xfId="0" applyFont="1" applyBorder="1" applyAlignment="1">
      <alignment horizontal="right"/>
    </xf>
    <xf numFmtId="0" fontId="15" fillId="0" borderId="46" xfId="0" applyFont="1" applyBorder="1" applyAlignment="1">
      <alignment horizontal="right" vertical="center"/>
    </xf>
    <xf numFmtId="0" fontId="21" fillId="0" borderId="58" xfId="0" applyFont="1" applyBorder="1" applyAlignment="1">
      <alignment vertic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60" xfId="0" applyBorder="1" applyAlignment="1">
      <alignment/>
    </xf>
    <xf numFmtId="0" fontId="0" fillId="0" borderId="60" xfId="0" applyBorder="1" applyAlignment="1">
      <alignment horizontal="right"/>
    </xf>
    <xf numFmtId="0" fontId="0" fillId="0" borderId="61" xfId="0" applyBorder="1" applyAlignment="1">
      <alignment horizontal="right"/>
    </xf>
    <xf numFmtId="4" fontId="21" fillId="0" borderId="0" xfId="0" applyNumberFormat="1" applyFont="1" applyBorder="1" applyAlignment="1">
      <alignment/>
    </xf>
    <xf numFmtId="0" fontId="21" fillId="0" borderId="62" xfId="0" applyFont="1" applyBorder="1" applyAlignment="1">
      <alignment/>
    </xf>
    <xf numFmtId="0" fontId="21" fillId="0" borderId="58" xfId="0" applyFont="1" applyBorder="1" applyAlignment="1">
      <alignment/>
    </xf>
    <xf numFmtId="0" fontId="21" fillId="77" borderId="58" xfId="0" applyFont="1" applyFill="1" applyBorder="1" applyAlignment="1">
      <alignment/>
    </xf>
    <xf numFmtId="0" fontId="21" fillId="0" borderId="58" xfId="0" applyFont="1" applyFill="1" applyBorder="1" applyAlignment="1">
      <alignment/>
    </xf>
    <xf numFmtId="0" fontId="21" fillId="71" borderId="58" xfId="0" applyFont="1" applyFill="1" applyBorder="1" applyAlignment="1">
      <alignment/>
    </xf>
    <xf numFmtId="0" fontId="29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58" xfId="293" applyBorder="1">
      <alignment/>
      <protection/>
    </xf>
    <xf numFmtId="0" fontId="0" fillId="0" borderId="46" xfId="293" applyBorder="1">
      <alignment/>
      <protection/>
    </xf>
    <xf numFmtId="0" fontId="0" fillId="7" borderId="32" xfId="293" applyFill="1" applyBorder="1" applyAlignment="1">
      <alignment horizontal="right" vertical="center"/>
      <protection/>
    </xf>
    <xf numFmtId="0" fontId="0" fillId="7" borderId="63" xfId="293" applyFill="1" applyBorder="1" applyAlignment="1">
      <alignment horizontal="right" vertical="center"/>
      <protection/>
    </xf>
    <xf numFmtId="0" fontId="0" fillId="0" borderId="0" xfId="293">
      <alignment/>
      <protection/>
    </xf>
    <xf numFmtId="0" fontId="0" fillId="0" borderId="62" xfId="279" applyBorder="1">
      <alignment/>
      <protection/>
    </xf>
    <xf numFmtId="0" fontId="0" fillId="0" borderId="64" xfId="279" applyBorder="1">
      <alignment/>
      <protection/>
    </xf>
    <xf numFmtId="0" fontId="0" fillId="0" borderId="65" xfId="279" applyBorder="1">
      <alignment/>
      <protection/>
    </xf>
    <xf numFmtId="0" fontId="41" fillId="80" borderId="58" xfId="279" applyFont="1" applyFill="1" applyBorder="1" applyAlignment="1" applyProtection="1">
      <alignment vertical="center"/>
      <protection/>
    </xf>
    <xf numFmtId="0" fontId="41" fillId="80" borderId="46" xfId="279" applyFont="1" applyFill="1" applyBorder="1" applyAlignment="1" applyProtection="1">
      <alignment vertical="center"/>
      <protection/>
    </xf>
    <xf numFmtId="0" fontId="38" fillId="0" borderId="58" xfId="279" applyFont="1" applyBorder="1" applyAlignment="1" applyProtection="1">
      <alignment horizontal="left" vertical="center"/>
      <protection/>
    </xf>
    <xf numFmtId="0" fontId="38" fillId="0" borderId="46" xfId="279" applyFont="1" applyBorder="1" applyAlignment="1" applyProtection="1">
      <alignment vertical="center"/>
      <protection/>
    </xf>
    <xf numFmtId="0" fontId="38" fillId="0" borderId="58" xfId="279" applyFont="1" applyBorder="1" applyAlignment="1" applyProtection="1">
      <alignment vertical="center"/>
      <protection/>
    </xf>
    <xf numFmtId="0" fontId="38" fillId="7" borderId="66" xfId="279" applyFont="1" applyFill="1" applyBorder="1" applyAlignment="1" applyProtection="1">
      <alignment vertical="center"/>
      <protection locked="0"/>
    </xf>
    <xf numFmtId="0" fontId="38" fillId="7" borderId="67" xfId="279" applyFont="1" applyFill="1" applyBorder="1" applyAlignment="1" applyProtection="1">
      <alignment vertical="center"/>
      <protection locked="0"/>
    </xf>
    <xf numFmtId="0" fontId="0" fillId="0" borderId="46" xfId="279" applyBorder="1">
      <alignment/>
      <protection/>
    </xf>
    <xf numFmtId="0" fontId="37" fillId="7" borderId="66" xfId="279" applyFont="1" applyFill="1" applyBorder="1" applyAlignment="1" applyProtection="1">
      <alignment vertical="center"/>
      <protection locked="0"/>
    </xf>
    <xf numFmtId="0" fontId="37" fillId="7" borderId="67" xfId="279" applyFont="1" applyFill="1" applyBorder="1" applyAlignment="1" applyProtection="1">
      <alignment vertical="center"/>
      <protection locked="0"/>
    </xf>
    <xf numFmtId="0" fontId="0" fillId="0" borderId="58" xfId="279" applyBorder="1">
      <alignment/>
      <protection/>
    </xf>
    <xf numFmtId="0" fontId="37" fillId="58" borderId="68" xfId="279" applyFont="1" applyFill="1" applyBorder="1" applyAlignment="1" applyProtection="1">
      <alignment vertical="center"/>
      <protection/>
    </xf>
    <xf numFmtId="0" fontId="38" fillId="58" borderId="66" xfId="279" applyFont="1" applyFill="1" applyBorder="1" applyAlignment="1" applyProtection="1">
      <alignment vertical="center"/>
      <protection/>
    </xf>
    <xf numFmtId="0" fontId="38" fillId="7" borderId="69" xfId="279" applyFont="1" applyFill="1" applyBorder="1" applyAlignment="1" applyProtection="1">
      <alignment horizontal="left" vertical="center"/>
      <protection/>
    </xf>
    <xf numFmtId="10" fontId="38" fillId="70" borderId="70" xfId="331" applyNumberFormat="1" applyFont="1" applyFill="1" applyBorder="1" applyAlignment="1" applyProtection="1">
      <alignment vertical="center"/>
      <protection locked="0"/>
    </xf>
    <xf numFmtId="0" fontId="38" fillId="7" borderId="71" xfId="279" applyFont="1" applyFill="1" applyBorder="1" applyAlignment="1" applyProtection="1">
      <alignment horizontal="left" vertical="center"/>
      <protection/>
    </xf>
    <xf numFmtId="0" fontId="38" fillId="7" borderId="72" xfId="279" applyFont="1" applyFill="1" applyBorder="1" applyAlignment="1" applyProtection="1">
      <alignment horizontal="left" vertical="center"/>
      <protection/>
    </xf>
    <xf numFmtId="0" fontId="0" fillId="7" borderId="58" xfId="279" applyFill="1" applyBorder="1">
      <alignment/>
      <protection/>
    </xf>
    <xf numFmtId="0" fontId="38" fillId="7" borderId="32" xfId="279" applyFont="1" applyFill="1" applyBorder="1" applyAlignment="1" applyProtection="1">
      <alignment horizontal="left" vertical="center"/>
      <protection/>
    </xf>
    <xf numFmtId="10" fontId="0" fillId="7" borderId="30" xfId="331" applyNumberFormat="1" applyFont="1" applyFill="1" applyBorder="1" applyAlignment="1">
      <alignment/>
    </xf>
    <xf numFmtId="0" fontId="0" fillId="0" borderId="73" xfId="293" applyFont="1" applyFill="1" applyBorder="1" applyAlignment="1">
      <alignment horizontal="center" vertical="center" wrapText="1"/>
      <protection/>
    </xf>
    <xf numFmtId="0" fontId="0" fillId="0" borderId="73" xfId="293" applyFont="1" applyFill="1" applyBorder="1" applyAlignment="1">
      <alignment horizontal="left" vertical="center" wrapText="1"/>
      <protection/>
    </xf>
    <xf numFmtId="4" fontId="0" fillId="0" borderId="73" xfId="363" applyNumberFormat="1" applyFont="1" applyFill="1" applyBorder="1" applyAlignment="1">
      <alignment horizontal="right" vertical="center" wrapText="1"/>
    </xf>
    <xf numFmtId="4" fontId="0" fillId="0" borderId="73" xfId="0" applyNumberFormat="1" applyFont="1" applyFill="1" applyBorder="1" applyAlignment="1">
      <alignment horizontal="right" vertical="center" wrapText="1"/>
    </xf>
    <xf numFmtId="0" fontId="23" fillId="77" borderId="29" xfId="293" applyFont="1" applyFill="1" applyBorder="1" applyAlignment="1">
      <alignment horizontal="center" vertical="center"/>
      <protection/>
    </xf>
    <xf numFmtId="0" fontId="23" fillId="77" borderId="29" xfId="293" applyFont="1" applyFill="1" applyBorder="1" applyAlignment="1">
      <alignment horizontal="center"/>
      <protection/>
    </xf>
    <xf numFmtId="0" fontId="23" fillId="77" borderId="29" xfId="295" applyFont="1" applyFill="1" applyBorder="1" applyAlignment="1">
      <alignment horizontal="left" vertical="center" wrapText="1"/>
      <protection/>
    </xf>
    <xf numFmtId="172" fontId="23" fillId="77" borderId="29" xfId="430" applyFont="1" applyFill="1" applyBorder="1" applyAlignment="1" applyProtection="1">
      <alignment vertical="center"/>
      <protection/>
    </xf>
    <xf numFmtId="4" fontId="23" fillId="77" borderId="29" xfId="0" applyNumberFormat="1" applyFont="1" applyFill="1" applyBorder="1" applyAlignment="1">
      <alignment horizontal="right" vertical="center" wrapText="1"/>
    </xf>
    <xf numFmtId="0" fontId="23" fillId="77" borderId="32" xfId="293" applyFont="1" applyFill="1" applyBorder="1" applyAlignment="1">
      <alignment horizontal="center" vertical="center"/>
      <protection/>
    </xf>
    <xf numFmtId="4" fontId="23" fillId="77" borderId="30" xfId="0" applyNumberFormat="1" applyFont="1" applyFill="1" applyBorder="1" applyAlignment="1">
      <alignment horizontal="right" vertical="center" wrapText="1"/>
    </xf>
    <xf numFmtId="0" fontId="21" fillId="0" borderId="74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 applyProtection="1">
      <alignment horizontal="left" vertical="center" wrapText="1"/>
      <protection/>
    </xf>
    <xf numFmtId="4" fontId="0" fillId="0" borderId="31" xfId="0" applyNumberFormat="1" applyFont="1" applyFill="1" applyBorder="1" applyAlignment="1" applyProtection="1">
      <alignment horizontal="right" vertical="center" wrapText="1"/>
      <protection/>
    </xf>
    <xf numFmtId="49" fontId="0" fillId="0" borderId="29" xfId="0" applyNumberFormat="1" applyFont="1" applyFill="1" applyBorder="1" applyAlignment="1" applyProtection="1">
      <alignment horizontal="left" vertical="center" wrapText="1"/>
      <protection/>
    </xf>
    <xf numFmtId="185" fontId="21" fillId="0" borderId="0" xfId="0" applyNumberFormat="1" applyFont="1" applyAlignment="1">
      <alignment/>
    </xf>
    <xf numFmtId="185" fontId="23" fillId="85" borderId="0" xfId="0" applyNumberFormat="1" applyFont="1" applyFill="1" applyAlignment="1">
      <alignment/>
    </xf>
    <xf numFmtId="185" fontId="23" fillId="0" borderId="0" xfId="0" applyNumberFormat="1" applyFont="1" applyAlignment="1">
      <alignment/>
    </xf>
    <xf numFmtId="4" fontId="21" fillId="85" borderId="29" xfId="0" applyNumberFormat="1" applyFont="1" applyFill="1" applyBorder="1" applyAlignment="1">
      <alignment horizontal="right" vertical="center" wrapText="1"/>
    </xf>
    <xf numFmtId="4" fontId="21" fillId="0" borderId="75" xfId="0" applyNumberFormat="1" applyFont="1" applyBorder="1" applyAlignment="1">
      <alignment horizontal="left" vertical="center"/>
    </xf>
    <xf numFmtId="4" fontId="31" fillId="71" borderId="49" xfId="0" applyNumberFormat="1" applyFont="1" applyFill="1" applyBorder="1" applyAlignment="1">
      <alignment horizontal="right" vertical="center" wrapText="1"/>
    </xf>
    <xf numFmtId="0" fontId="23" fillId="0" borderId="76" xfId="0" applyFont="1" applyFill="1" applyBorder="1" applyAlignment="1">
      <alignment horizontal="left" vertical="center"/>
    </xf>
    <xf numFmtId="0" fontId="23" fillId="0" borderId="77" xfId="0" applyFont="1" applyFill="1" applyBorder="1" applyAlignment="1">
      <alignment horizontal="left" vertical="center"/>
    </xf>
    <xf numFmtId="0" fontId="23" fillId="0" borderId="78" xfId="0" applyFont="1" applyFill="1" applyBorder="1" applyAlignment="1">
      <alignment horizontal="left" vertical="center"/>
    </xf>
    <xf numFmtId="0" fontId="23" fillId="0" borderId="79" xfId="0" applyFont="1" applyFill="1" applyBorder="1" applyAlignment="1">
      <alignment horizontal="left" vertical="center"/>
    </xf>
    <xf numFmtId="0" fontId="21" fillId="0" borderId="62" xfId="0" applyFont="1" applyBorder="1" applyAlignment="1">
      <alignment horizontal="center"/>
    </xf>
    <xf numFmtId="0" fontId="21" fillId="0" borderId="80" xfId="0" applyFont="1" applyBorder="1" applyAlignment="1">
      <alignment horizontal="center"/>
    </xf>
    <xf numFmtId="0" fontId="21" fillId="0" borderId="81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0" fontId="21" fillId="0" borderId="82" xfId="0" applyFont="1" applyFill="1" applyBorder="1" applyAlignment="1">
      <alignment horizontal="center"/>
    </xf>
    <xf numFmtId="0" fontId="21" fillId="0" borderId="83" xfId="0" applyFont="1" applyFill="1" applyBorder="1" applyAlignment="1">
      <alignment horizontal="center"/>
    </xf>
    <xf numFmtId="0" fontId="21" fillId="0" borderId="84" xfId="0" applyFont="1" applyFill="1" applyBorder="1" applyAlignment="1">
      <alignment horizontal="center"/>
    </xf>
    <xf numFmtId="0" fontId="22" fillId="86" borderId="85" xfId="0" applyFont="1" applyFill="1" applyBorder="1" applyAlignment="1">
      <alignment horizontal="center" vertical="center"/>
    </xf>
    <xf numFmtId="0" fontId="22" fillId="86" borderId="86" xfId="0" applyFont="1" applyFill="1" applyBorder="1" applyAlignment="1">
      <alignment horizontal="center" vertical="center"/>
    </xf>
    <xf numFmtId="0" fontId="22" fillId="86" borderId="87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left" vertical="center"/>
    </xf>
    <xf numFmtId="0" fontId="23" fillId="0" borderId="88" xfId="0" applyFont="1" applyFill="1" applyBorder="1" applyAlignment="1">
      <alignment horizontal="left" vertical="center"/>
    </xf>
    <xf numFmtId="14" fontId="23" fillId="0" borderId="89" xfId="0" applyNumberFormat="1" applyFont="1" applyFill="1" applyBorder="1" applyAlignment="1">
      <alignment horizontal="left" vertical="center"/>
    </xf>
    <xf numFmtId="14" fontId="23" fillId="0" borderId="49" xfId="0" applyNumberFormat="1" applyFont="1" applyFill="1" applyBorder="1" applyAlignment="1">
      <alignment horizontal="left" vertical="center"/>
    </xf>
    <xf numFmtId="0" fontId="23" fillId="0" borderId="48" xfId="0" applyFont="1" applyFill="1" applyBorder="1" applyAlignment="1">
      <alignment horizontal="left" vertical="center" wrapText="1"/>
    </xf>
    <xf numFmtId="0" fontId="23" fillId="0" borderId="88" xfId="0" applyFont="1" applyFill="1" applyBorder="1" applyAlignment="1">
      <alignment horizontal="left" vertical="center" wrapText="1"/>
    </xf>
    <xf numFmtId="0" fontId="23" fillId="0" borderId="89" xfId="0" applyFont="1" applyFill="1" applyBorder="1" applyAlignment="1">
      <alignment horizontal="left" vertical="center"/>
    </xf>
    <xf numFmtId="0" fontId="23" fillId="0" borderId="49" xfId="0" applyFont="1" applyFill="1" applyBorder="1" applyAlignment="1">
      <alignment horizontal="left" vertical="center"/>
    </xf>
    <xf numFmtId="0" fontId="23" fillId="0" borderId="90" xfId="0" applyFont="1" applyFill="1" applyBorder="1" applyAlignment="1">
      <alignment horizontal="center" vertical="center"/>
    </xf>
    <xf numFmtId="0" fontId="23" fillId="0" borderId="91" xfId="0" applyFont="1" applyFill="1" applyBorder="1" applyAlignment="1">
      <alignment horizontal="right" vertical="center"/>
    </xf>
    <xf numFmtId="0" fontId="23" fillId="0" borderId="92" xfId="0" applyFont="1" applyFill="1" applyBorder="1" applyAlignment="1">
      <alignment horizontal="left" vertical="center" wrapText="1"/>
    </xf>
    <xf numFmtId="0" fontId="23" fillId="0" borderId="93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15" fillId="0" borderId="46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46" xfId="0" applyFont="1" applyBorder="1" applyAlignment="1">
      <alignment horizontal="left"/>
    </xf>
    <xf numFmtId="0" fontId="15" fillId="0" borderId="94" xfId="0" applyFont="1" applyBorder="1" applyAlignment="1">
      <alignment horizontal="right" vertical="center"/>
    </xf>
    <xf numFmtId="0" fontId="15" fillId="0" borderId="95" xfId="0" applyFont="1" applyBorder="1" applyAlignment="1">
      <alignment horizontal="right" vertical="center"/>
    </xf>
    <xf numFmtId="0" fontId="15" fillId="0" borderId="96" xfId="0" applyFont="1" applyBorder="1" applyAlignment="1">
      <alignment horizontal="right" vertical="center"/>
    </xf>
    <xf numFmtId="0" fontId="23" fillId="0" borderId="82" xfId="0" applyFont="1" applyFill="1" applyBorder="1" applyAlignment="1">
      <alignment horizontal="center" vertical="center" wrapText="1"/>
    </xf>
    <xf numFmtId="0" fontId="23" fillId="0" borderId="83" xfId="0" applyFont="1" applyFill="1" applyBorder="1" applyAlignment="1">
      <alignment horizontal="center" vertical="center" wrapText="1"/>
    </xf>
    <xf numFmtId="0" fontId="23" fillId="0" borderId="84" xfId="0" applyFont="1" applyFill="1" applyBorder="1" applyAlignment="1">
      <alignment horizontal="center" vertical="center" wrapText="1"/>
    </xf>
    <xf numFmtId="0" fontId="24" fillId="87" borderId="97" xfId="0" applyFont="1" applyFill="1" applyBorder="1" applyAlignment="1">
      <alignment horizontal="center" vertical="center"/>
    </xf>
    <xf numFmtId="0" fontId="24" fillId="87" borderId="98" xfId="0" applyFont="1" applyFill="1" applyBorder="1" applyAlignment="1">
      <alignment horizontal="center" vertical="center"/>
    </xf>
    <xf numFmtId="0" fontId="24" fillId="87" borderId="99" xfId="0" applyFont="1" applyFill="1" applyBorder="1" applyAlignment="1">
      <alignment horizontal="center" vertical="center"/>
    </xf>
    <xf numFmtId="0" fontId="24" fillId="87" borderId="100" xfId="0" applyFont="1" applyFill="1" applyBorder="1" applyAlignment="1">
      <alignment horizontal="center" vertical="center"/>
    </xf>
    <xf numFmtId="0" fontId="24" fillId="87" borderId="101" xfId="0" applyFont="1" applyFill="1" applyBorder="1" applyAlignment="1">
      <alignment horizontal="center" vertical="center"/>
    </xf>
    <xf numFmtId="0" fontId="24" fillId="87" borderId="102" xfId="0" applyFont="1" applyFill="1" applyBorder="1" applyAlignment="1">
      <alignment horizontal="center" vertical="center"/>
    </xf>
    <xf numFmtId="0" fontId="30" fillId="71" borderId="48" xfId="0" applyFont="1" applyFill="1" applyBorder="1" applyAlignment="1">
      <alignment horizontal="right" vertical="center" wrapText="1"/>
    </xf>
    <xf numFmtId="0" fontId="30" fillId="71" borderId="88" xfId="0" applyFont="1" applyFill="1" applyBorder="1" applyAlignment="1">
      <alignment horizontal="right" vertical="center" wrapText="1"/>
    </xf>
    <xf numFmtId="0" fontId="33" fillId="0" borderId="94" xfId="0" applyFont="1" applyBorder="1" applyAlignment="1">
      <alignment horizontal="center" vertical="center"/>
    </xf>
    <xf numFmtId="0" fontId="33" fillId="0" borderId="95" xfId="0" applyFont="1" applyBorder="1" applyAlignment="1">
      <alignment horizontal="center" vertical="center"/>
    </xf>
    <xf numFmtId="0" fontId="33" fillId="0" borderId="96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49" fontId="0" fillId="78" borderId="43" xfId="294" applyNumberFormat="1" applyFont="1" applyFill="1" applyBorder="1" applyAlignment="1">
      <alignment horizontal="center" vertical="center" wrapText="1"/>
      <protection/>
    </xf>
    <xf numFmtId="49" fontId="0" fillId="78" borderId="74" xfId="294" applyNumberFormat="1" applyFont="1" applyFill="1" applyBorder="1" applyAlignment="1">
      <alignment horizontal="center" vertical="center" wrapText="1"/>
      <protection/>
    </xf>
    <xf numFmtId="49" fontId="0" fillId="78" borderId="44" xfId="294" applyNumberFormat="1" applyFont="1" applyFill="1" applyBorder="1" applyAlignment="1">
      <alignment horizontal="left" vertical="center" wrapText="1"/>
      <protection/>
    </xf>
    <xf numFmtId="49" fontId="0" fillId="78" borderId="73" xfId="294" applyNumberFormat="1" applyFont="1" applyFill="1" applyBorder="1" applyAlignment="1">
      <alignment horizontal="left" vertical="center" wrapText="1"/>
      <protection/>
    </xf>
    <xf numFmtId="0" fontId="0" fillId="78" borderId="22" xfId="294" applyFont="1" applyFill="1" applyBorder="1" applyAlignment="1">
      <alignment vertical="center" wrapText="1"/>
      <protection/>
    </xf>
    <xf numFmtId="49" fontId="0" fillId="78" borderId="48" xfId="294" applyNumberFormat="1" applyFont="1" applyFill="1" applyBorder="1" applyAlignment="1">
      <alignment horizontal="center" vertical="center" wrapText="1"/>
      <protection/>
    </xf>
    <xf numFmtId="0" fontId="0" fillId="78" borderId="44" xfId="294" applyFont="1" applyFill="1" applyBorder="1" applyAlignment="1">
      <alignment vertical="center" wrapText="1"/>
      <protection/>
    </xf>
    <xf numFmtId="0" fontId="0" fillId="78" borderId="73" xfId="294" applyFont="1" applyFill="1" applyBorder="1" applyAlignment="1">
      <alignment vertical="center" wrapText="1"/>
      <protection/>
    </xf>
    <xf numFmtId="0" fontId="35" fillId="86" borderId="103" xfId="294" applyFont="1" applyFill="1" applyBorder="1" applyAlignment="1">
      <alignment horizontal="center" vertical="center"/>
      <protection/>
    </xf>
    <xf numFmtId="0" fontId="35" fillId="86" borderId="104" xfId="294" applyFont="1" applyFill="1" applyBorder="1" applyAlignment="1">
      <alignment horizontal="center" vertical="center"/>
      <protection/>
    </xf>
    <xf numFmtId="0" fontId="35" fillId="86" borderId="105" xfId="294" applyFont="1" applyFill="1" applyBorder="1" applyAlignment="1">
      <alignment horizontal="center" vertical="center"/>
      <protection/>
    </xf>
    <xf numFmtId="0" fontId="1" fillId="0" borderId="28" xfId="311" applyFont="1" applyBorder="1" applyAlignment="1">
      <alignment horizontal="center"/>
      <protection/>
    </xf>
    <xf numFmtId="0" fontId="25" fillId="78" borderId="106" xfId="294" applyFont="1" applyFill="1" applyBorder="1" applyAlignment="1">
      <alignment horizontal="center" vertical="center"/>
      <protection/>
    </xf>
    <xf numFmtId="0" fontId="25" fillId="78" borderId="107" xfId="294" applyFont="1" applyFill="1" applyBorder="1" applyAlignment="1">
      <alignment horizontal="center" vertical="center"/>
      <protection/>
    </xf>
    <xf numFmtId="0" fontId="0" fillId="78" borderId="23" xfId="294" applyFont="1" applyFill="1" applyBorder="1" applyAlignment="1">
      <alignment vertical="center" wrapText="1"/>
      <protection/>
    </xf>
    <xf numFmtId="0" fontId="0" fillId="78" borderId="24" xfId="294" applyFont="1" applyFill="1" applyBorder="1" applyAlignment="1">
      <alignment vertical="center" wrapText="1"/>
      <protection/>
    </xf>
    <xf numFmtId="49" fontId="0" fillId="78" borderId="56" xfId="294" applyNumberFormat="1" applyFont="1" applyFill="1" applyBorder="1" applyAlignment="1">
      <alignment horizontal="center" vertical="center" wrapText="1"/>
      <protection/>
    </xf>
    <xf numFmtId="49" fontId="0" fillId="78" borderId="108" xfId="294" applyNumberFormat="1" applyFont="1" applyFill="1" applyBorder="1" applyAlignment="1">
      <alignment horizontal="center" vertical="center" wrapText="1"/>
      <protection/>
    </xf>
    <xf numFmtId="49" fontId="0" fillId="78" borderId="22" xfId="294" applyNumberFormat="1" applyFont="1" applyFill="1" applyBorder="1" applyAlignment="1">
      <alignment vertical="center" wrapText="1"/>
      <protection/>
    </xf>
    <xf numFmtId="0" fontId="0" fillId="78" borderId="26" xfId="294" applyFont="1" applyFill="1" applyBorder="1" applyAlignment="1">
      <alignment vertical="center" wrapText="1"/>
      <protection/>
    </xf>
    <xf numFmtId="49" fontId="0" fillId="78" borderId="55" xfId="294" applyNumberFormat="1" applyFont="1" applyFill="1" applyBorder="1" applyAlignment="1">
      <alignment horizontal="center" vertical="center" wrapText="1"/>
      <protection/>
    </xf>
    <xf numFmtId="0" fontId="25" fillId="78" borderId="58" xfId="294" applyFont="1" applyFill="1" applyBorder="1" applyAlignment="1">
      <alignment horizontal="center" wrapText="1"/>
      <protection/>
    </xf>
    <xf numFmtId="0" fontId="25" fillId="78" borderId="0" xfId="294" applyFont="1" applyFill="1" applyBorder="1" applyAlignment="1">
      <alignment horizontal="center" wrapText="1"/>
      <protection/>
    </xf>
    <xf numFmtId="0" fontId="0" fillId="78" borderId="59" xfId="294" applyFont="1" applyFill="1" applyBorder="1" applyAlignment="1">
      <alignment horizontal="center" wrapText="1"/>
      <protection/>
    </xf>
    <xf numFmtId="0" fontId="0" fillId="78" borderId="60" xfId="294" applyFont="1" applyFill="1" applyBorder="1" applyAlignment="1">
      <alignment horizontal="center" wrapText="1"/>
      <protection/>
    </xf>
    <xf numFmtId="0" fontId="25" fillId="78" borderId="46" xfId="294" applyFont="1" applyFill="1" applyBorder="1" applyAlignment="1">
      <alignment horizontal="center" wrapText="1"/>
      <protection/>
    </xf>
    <xf numFmtId="0" fontId="0" fillId="78" borderId="61" xfId="294" applyFont="1" applyFill="1" applyBorder="1" applyAlignment="1">
      <alignment horizontal="center" wrapText="1"/>
      <protection/>
    </xf>
    <xf numFmtId="0" fontId="25" fillId="78" borderId="55" xfId="294" applyFont="1" applyFill="1" applyBorder="1" applyAlignment="1">
      <alignment horizontal="center" vertical="center" wrapText="1"/>
      <protection/>
    </xf>
    <xf numFmtId="0" fontId="25" fillId="78" borderId="109" xfId="294" applyFont="1" applyFill="1" applyBorder="1" applyAlignment="1">
      <alignment horizontal="center" vertical="center" wrapText="1"/>
      <protection/>
    </xf>
    <xf numFmtId="0" fontId="25" fillId="78" borderId="48" xfId="294" applyFont="1" applyFill="1" applyBorder="1" applyAlignment="1">
      <alignment horizontal="center" vertical="center" wrapText="1"/>
      <protection/>
    </xf>
    <xf numFmtId="0" fontId="25" fillId="78" borderId="88" xfId="294" applyFont="1" applyFill="1" applyBorder="1" applyAlignment="1">
      <alignment horizontal="center" vertical="center" wrapText="1"/>
      <protection/>
    </xf>
    <xf numFmtId="0" fontId="0" fillId="70" borderId="40" xfId="279" applyFill="1" applyBorder="1" applyAlignment="1">
      <alignment horizontal="center"/>
      <protection/>
    </xf>
    <xf numFmtId="0" fontId="0" fillId="70" borderId="41" xfId="279" applyFill="1" applyBorder="1" applyAlignment="1">
      <alignment horizontal="center"/>
      <protection/>
    </xf>
    <xf numFmtId="0" fontId="0" fillId="70" borderId="75" xfId="279" applyFill="1" applyBorder="1" applyAlignment="1">
      <alignment horizontal="center"/>
      <protection/>
    </xf>
    <xf numFmtId="0" fontId="25" fillId="0" borderId="110" xfId="0" applyFont="1" applyBorder="1" applyAlignment="1">
      <alignment horizontal="left" vertical="center" wrapText="1"/>
    </xf>
    <xf numFmtId="0" fontId="25" fillId="0" borderId="111" xfId="0" applyFont="1" applyBorder="1" applyAlignment="1">
      <alignment horizontal="left" vertical="center" wrapText="1"/>
    </xf>
    <xf numFmtId="0" fontId="25" fillId="0" borderId="112" xfId="0" applyFont="1" applyBorder="1" applyAlignment="1">
      <alignment horizontal="left" vertical="center" wrapText="1"/>
    </xf>
    <xf numFmtId="0" fontId="37" fillId="7" borderId="66" xfId="279" applyFont="1" applyFill="1" applyBorder="1" applyAlignment="1" applyProtection="1">
      <alignment horizontal="center" vertical="center"/>
      <protection locked="0"/>
    </xf>
    <xf numFmtId="0" fontId="37" fillId="7" borderId="33" xfId="279" applyFont="1" applyFill="1" applyBorder="1" applyAlignment="1" applyProtection="1">
      <alignment horizontal="center" vertical="center"/>
      <protection locked="0"/>
    </xf>
    <xf numFmtId="0" fontId="37" fillId="7" borderId="67" xfId="279" applyFont="1" applyFill="1" applyBorder="1" applyAlignment="1" applyProtection="1">
      <alignment horizontal="center" vertical="center"/>
      <protection locked="0"/>
    </xf>
    <xf numFmtId="0" fontId="37" fillId="0" borderId="113" xfId="279" applyFont="1" applyFill="1" applyBorder="1" applyAlignment="1" applyProtection="1">
      <alignment horizontal="center" vertical="center"/>
      <protection/>
    </xf>
    <xf numFmtId="0" fontId="37" fillId="0" borderId="41" xfId="279" applyFont="1" applyFill="1" applyBorder="1" applyAlignment="1" applyProtection="1">
      <alignment horizontal="center" vertical="center"/>
      <protection/>
    </xf>
    <xf numFmtId="0" fontId="37" fillId="0" borderId="114" xfId="279" applyFont="1" applyFill="1" applyBorder="1" applyAlignment="1" applyProtection="1">
      <alignment horizontal="center" vertical="center"/>
      <protection/>
    </xf>
    <xf numFmtId="0" fontId="25" fillId="7" borderId="115" xfId="293" applyFont="1" applyFill="1" applyBorder="1" applyAlignment="1">
      <alignment horizontal="center"/>
      <protection/>
    </xf>
    <xf numFmtId="0" fontId="25" fillId="7" borderId="116" xfId="293" applyFont="1" applyFill="1" applyBorder="1" applyAlignment="1">
      <alignment horizontal="center"/>
      <protection/>
    </xf>
    <xf numFmtId="0" fontId="25" fillId="7" borderId="117" xfId="293" applyFont="1" applyFill="1" applyBorder="1" applyAlignment="1">
      <alignment horizontal="center"/>
      <protection/>
    </xf>
    <xf numFmtId="10" fontId="0" fillId="7" borderId="40" xfId="293" applyNumberFormat="1" applyFill="1" applyBorder="1" applyAlignment="1">
      <alignment horizontal="left" vertical="center"/>
      <protection/>
    </xf>
    <xf numFmtId="0" fontId="0" fillId="7" borderId="41" xfId="293" applyFill="1" applyBorder="1" applyAlignment="1">
      <alignment horizontal="left" vertical="center"/>
      <protection/>
    </xf>
    <xf numFmtId="0" fontId="0" fillId="7" borderId="114" xfId="293" applyFill="1" applyBorder="1" applyAlignment="1">
      <alignment horizontal="left" vertical="center"/>
      <protection/>
    </xf>
    <xf numFmtId="10" fontId="0" fillId="7" borderId="118" xfId="293" applyNumberFormat="1" applyFill="1" applyBorder="1" applyAlignment="1">
      <alignment horizontal="left" vertical="center"/>
      <protection/>
    </xf>
    <xf numFmtId="0" fontId="0" fillId="7" borderId="119" xfId="293" applyFill="1" applyBorder="1" applyAlignment="1">
      <alignment horizontal="left" vertical="center"/>
      <protection/>
    </xf>
    <xf numFmtId="0" fontId="0" fillId="7" borderId="120" xfId="293" applyFill="1" applyBorder="1" applyAlignment="1">
      <alignment horizontal="left" vertical="center"/>
      <protection/>
    </xf>
    <xf numFmtId="0" fontId="0" fillId="0" borderId="0" xfId="293" applyFont="1" applyBorder="1" applyAlignment="1">
      <alignment horizontal="center"/>
      <protection/>
    </xf>
    <xf numFmtId="10" fontId="38" fillId="58" borderId="113" xfId="279" applyNumberFormat="1" applyFont="1" applyFill="1" applyBorder="1" applyAlignment="1" applyProtection="1">
      <alignment horizontal="center" vertical="center"/>
      <protection/>
    </xf>
    <xf numFmtId="10" fontId="38" fillId="58" borderId="41" xfId="279" applyNumberFormat="1" applyFont="1" applyFill="1" applyBorder="1" applyAlignment="1" applyProtection="1">
      <alignment horizontal="center" vertical="center"/>
      <protection/>
    </xf>
    <xf numFmtId="10" fontId="38" fillId="58" borderId="114" xfId="279" applyNumberFormat="1" applyFont="1" applyFill="1" applyBorder="1" applyAlignment="1" applyProtection="1">
      <alignment horizontal="center" vertical="center"/>
      <protection/>
    </xf>
    <xf numFmtId="10" fontId="38" fillId="7" borderId="41" xfId="279" applyNumberFormat="1" applyFont="1" applyFill="1" applyBorder="1" applyAlignment="1" applyProtection="1">
      <alignment horizontal="center" vertical="center"/>
      <protection/>
    </xf>
    <xf numFmtId="0" fontId="0" fillId="0" borderId="121" xfId="279" applyBorder="1" applyAlignment="1">
      <alignment horizontal="center"/>
      <protection/>
    </xf>
    <xf numFmtId="0" fontId="0" fillId="0" borderId="37" xfId="279" applyBorder="1" applyAlignment="1">
      <alignment horizontal="center"/>
      <protection/>
    </xf>
    <xf numFmtId="0" fontId="0" fillId="0" borderId="122" xfId="279" applyBorder="1" applyAlignment="1">
      <alignment horizontal="center"/>
      <protection/>
    </xf>
    <xf numFmtId="0" fontId="0" fillId="0" borderId="123" xfId="279" applyBorder="1" applyAlignment="1">
      <alignment horizontal="center"/>
      <protection/>
    </xf>
    <xf numFmtId="0" fontId="0" fillId="0" borderId="124" xfId="279" applyBorder="1" applyAlignment="1">
      <alignment horizontal="center"/>
      <protection/>
    </xf>
    <xf numFmtId="0" fontId="0" fillId="0" borderId="125" xfId="279" applyBorder="1" applyAlignment="1">
      <alignment horizontal="center"/>
      <protection/>
    </xf>
    <xf numFmtId="0" fontId="0" fillId="0" borderId="126" xfId="279" applyBorder="1" applyAlignment="1">
      <alignment horizontal="center"/>
      <protection/>
    </xf>
    <xf numFmtId="0" fontId="0" fillId="0" borderId="35" xfId="279" applyBorder="1" applyAlignment="1">
      <alignment horizontal="center"/>
      <protection/>
    </xf>
    <xf numFmtId="0" fontId="0" fillId="0" borderId="127" xfId="279" applyBorder="1" applyAlignment="1">
      <alignment horizontal="center"/>
      <protection/>
    </xf>
    <xf numFmtId="10" fontId="38" fillId="7" borderId="35" xfId="279" applyNumberFormat="1" applyFont="1" applyFill="1" applyBorder="1" applyAlignment="1" applyProtection="1">
      <alignment horizontal="center" vertical="center"/>
      <protection/>
    </xf>
    <xf numFmtId="10" fontId="38" fillId="7" borderId="128" xfId="279" applyNumberFormat="1" applyFont="1" applyFill="1" applyBorder="1" applyAlignment="1" applyProtection="1">
      <alignment horizontal="center" vertical="center"/>
      <protection/>
    </xf>
    <xf numFmtId="0" fontId="0" fillId="0" borderId="40" xfId="279" applyFont="1" applyBorder="1" applyAlignment="1">
      <alignment horizontal="center"/>
      <protection/>
    </xf>
    <xf numFmtId="0" fontId="0" fillId="0" borderId="41" xfId="279" applyFont="1" applyBorder="1" applyAlignment="1">
      <alignment horizontal="center"/>
      <protection/>
    </xf>
    <xf numFmtId="0" fontId="0" fillId="0" borderId="114" xfId="279" applyFont="1" applyBorder="1" applyAlignment="1">
      <alignment horizontal="center"/>
      <protection/>
    </xf>
    <xf numFmtId="10" fontId="38" fillId="7" borderId="37" xfId="279" applyNumberFormat="1" applyFont="1" applyFill="1" applyBorder="1" applyAlignment="1" applyProtection="1">
      <alignment horizontal="center" vertical="center"/>
      <protection/>
    </xf>
    <xf numFmtId="10" fontId="38" fillId="7" borderId="129" xfId="279" applyNumberFormat="1" applyFont="1" applyFill="1" applyBorder="1" applyAlignment="1" applyProtection="1">
      <alignment horizontal="center" vertical="center"/>
      <protection/>
    </xf>
    <xf numFmtId="10" fontId="38" fillId="7" borderId="75" xfId="279" applyNumberFormat="1" applyFont="1" applyFill="1" applyBorder="1" applyAlignment="1" applyProtection="1">
      <alignment horizontal="center" vertical="center"/>
      <protection/>
    </xf>
    <xf numFmtId="0" fontId="40" fillId="0" borderId="58" xfId="279" applyFont="1" applyBorder="1" applyAlignment="1">
      <alignment horizontal="center"/>
      <protection/>
    </xf>
    <xf numFmtId="0" fontId="40" fillId="0" borderId="0" xfId="279" applyFont="1" applyBorder="1" applyAlignment="1">
      <alignment horizontal="center"/>
      <protection/>
    </xf>
    <xf numFmtId="0" fontId="40" fillId="0" borderId="46" xfId="279" applyFont="1" applyBorder="1" applyAlignment="1">
      <alignment horizontal="center"/>
      <protection/>
    </xf>
    <xf numFmtId="0" fontId="0" fillId="0" borderId="68" xfId="279" applyBorder="1" applyAlignment="1">
      <alignment horizontal="center" vertical="center"/>
      <protection/>
    </xf>
    <xf numFmtId="0" fontId="0" fillId="0" borderId="130" xfId="279" applyBorder="1" applyAlignment="1">
      <alignment horizontal="center" vertical="center"/>
      <protection/>
    </xf>
    <xf numFmtId="0" fontId="0" fillId="0" borderId="131" xfId="279" applyBorder="1" applyAlignment="1">
      <alignment horizontal="center" vertical="center"/>
      <protection/>
    </xf>
    <xf numFmtId="0" fontId="0" fillId="0" borderId="66" xfId="279" applyBorder="1" applyAlignment="1">
      <alignment horizontal="center" vertical="center"/>
      <protection/>
    </xf>
    <xf numFmtId="0" fontId="0" fillId="0" borderId="33" xfId="279" applyBorder="1" applyAlignment="1">
      <alignment horizontal="center" vertical="center"/>
      <protection/>
    </xf>
    <xf numFmtId="0" fontId="0" fillId="0" borderId="67" xfId="279" applyBorder="1" applyAlignment="1">
      <alignment horizontal="center" vertical="center"/>
      <protection/>
    </xf>
    <xf numFmtId="0" fontId="0" fillId="7" borderId="113" xfId="279" applyFont="1" applyFill="1" applyBorder="1" applyAlignment="1">
      <alignment horizontal="center"/>
      <protection/>
    </xf>
    <xf numFmtId="0" fontId="0" fillId="7" borderId="41" xfId="279" applyFont="1" applyFill="1" applyBorder="1" applyAlignment="1">
      <alignment horizontal="center"/>
      <protection/>
    </xf>
    <xf numFmtId="0" fontId="0" fillId="7" borderId="114" xfId="279" applyFont="1" applyFill="1" applyBorder="1" applyAlignment="1">
      <alignment horizontal="center"/>
      <protection/>
    </xf>
    <xf numFmtId="0" fontId="37" fillId="58" borderId="132" xfId="279" applyFont="1" applyFill="1" applyBorder="1" applyAlignment="1" applyProtection="1">
      <alignment horizontal="center" vertical="center" wrapText="1"/>
      <protection/>
    </xf>
    <xf numFmtId="0" fontId="37" fillId="58" borderId="130" xfId="279" applyFont="1" applyFill="1" applyBorder="1" applyAlignment="1" applyProtection="1">
      <alignment horizontal="center" vertical="center" wrapText="1"/>
      <protection/>
    </xf>
    <xf numFmtId="0" fontId="37" fillId="58" borderId="133" xfId="279" applyFont="1" applyFill="1" applyBorder="1" applyAlignment="1" applyProtection="1">
      <alignment horizontal="center" vertical="center" wrapText="1"/>
      <protection/>
    </xf>
    <xf numFmtId="0" fontId="37" fillId="58" borderId="134" xfId="279" applyFont="1" applyFill="1" applyBorder="1" applyAlignment="1" applyProtection="1">
      <alignment horizontal="center" vertical="center" wrapText="1"/>
      <protection/>
    </xf>
    <xf numFmtId="0" fontId="37" fillId="58" borderId="33" xfId="279" applyFont="1" applyFill="1" applyBorder="1" applyAlignment="1" applyProtection="1">
      <alignment horizontal="center" vertical="center" wrapText="1"/>
      <protection/>
    </xf>
    <xf numFmtId="0" fontId="37" fillId="58" borderId="135" xfId="279" applyFont="1" applyFill="1" applyBorder="1" applyAlignment="1" applyProtection="1">
      <alignment horizontal="center" vertical="center" wrapText="1"/>
      <protection/>
    </xf>
    <xf numFmtId="0" fontId="37" fillId="58" borderId="132" xfId="279" applyFont="1" applyFill="1" applyBorder="1" applyAlignment="1" applyProtection="1">
      <alignment horizontal="center" vertical="center"/>
      <protection/>
    </xf>
    <xf numFmtId="0" fontId="37" fillId="58" borderId="131" xfId="279" applyFont="1" applyFill="1" applyBorder="1" applyAlignment="1" applyProtection="1">
      <alignment horizontal="center" vertical="center"/>
      <protection/>
    </xf>
    <xf numFmtId="0" fontId="37" fillId="58" borderId="134" xfId="279" applyFont="1" applyFill="1" applyBorder="1" applyAlignment="1" applyProtection="1">
      <alignment horizontal="center" vertical="center"/>
      <protection/>
    </xf>
    <xf numFmtId="0" fontId="37" fillId="58" borderId="67" xfId="279" applyFont="1" applyFill="1" applyBorder="1" applyAlignment="1" applyProtection="1">
      <alignment horizontal="center" vertical="center"/>
      <protection/>
    </xf>
  </cellXfs>
  <cellStyles count="42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1 2" xfId="28"/>
    <cellStyle name="20% - Ênfase1 2 2" xfId="29"/>
    <cellStyle name="20% - Ênfase1 3" xfId="30"/>
    <cellStyle name="20% - Ênfase1 3 2" xfId="31"/>
    <cellStyle name="20% - Ênfase2" xfId="32"/>
    <cellStyle name="20% - Ênfase2 2" xfId="33"/>
    <cellStyle name="20% - Ênfase2 2 2" xfId="34"/>
    <cellStyle name="20% - Ênfase2 3" xfId="35"/>
    <cellStyle name="20% - Ênfase2 3 2" xfId="36"/>
    <cellStyle name="20% - Ênfase3" xfId="37"/>
    <cellStyle name="20% - Ênfase3 2" xfId="38"/>
    <cellStyle name="20% - Ênfase3 2 2" xfId="39"/>
    <cellStyle name="20% - Ênfase3 3" xfId="40"/>
    <cellStyle name="20% - Ênfase3 3 2" xfId="41"/>
    <cellStyle name="20% - Ênfase4" xfId="42"/>
    <cellStyle name="20% - Ênfase4 2" xfId="43"/>
    <cellStyle name="20% - Ênfase4 2 2" xfId="44"/>
    <cellStyle name="20% - Ênfase4 3" xfId="45"/>
    <cellStyle name="20% - Ênfase4 3 2" xfId="46"/>
    <cellStyle name="20% - Ênfase5" xfId="47"/>
    <cellStyle name="20% - Ênfase5 2" xfId="48"/>
    <cellStyle name="20% - Ênfase5 2 2" xfId="49"/>
    <cellStyle name="20% - Ênfase5 3" xfId="50"/>
    <cellStyle name="20% - Ênfase5 3 2" xfId="51"/>
    <cellStyle name="20% - Ênfase6" xfId="52"/>
    <cellStyle name="20% - Ênfase6 2" xfId="53"/>
    <cellStyle name="20% - Ênfase6 2 2" xfId="54"/>
    <cellStyle name="20% - Ênfase6 3" xfId="55"/>
    <cellStyle name="20% - Ênfase6 3 2" xfId="56"/>
    <cellStyle name="40% - Accent1" xfId="57"/>
    <cellStyle name="40% - Accent1 2" xfId="58"/>
    <cellStyle name="40% - Accent2" xfId="59"/>
    <cellStyle name="40% - Accent2 2" xfId="60"/>
    <cellStyle name="40% - Accent3" xfId="61"/>
    <cellStyle name="40% - Accent3 2" xfId="62"/>
    <cellStyle name="40% - Accent4" xfId="63"/>
    <cellStyle name="40% - Accent4 2" xfId="64"/>
    <cellStyle name="40% - Accent5" xfId="65"/>
    <cellStyle name="40% - Accent5 2" xfId="66"/>
    <cellStyle name="40% - Accent6" xfId="67"/>
    <cellStyle name="40% - Accent6 2" xfId="68"/>
    <cellStyle name="40% - Ênfase1" xfId="69"/>
    <cellStyle name="40% - Ênfase1 2" xfId="70"/>
    <cellStyle name="40% - Ênfase1 2 2" xfId="71"/>
    <cellStyle name="40% - Ênfase1 3" xfId="72"/>
    <cellStyle name="40% - Ênfase1 3 2" xfId="73"/>
    <cellStyle name="40% - Ênfase2" xfId="74"/>
    <cellStyle name="40% - Ênfase2 2" xfId="75"/>
    <cellStyle name="40% - Ênfase2 2 2" xfId="76"/>
    <cellStyle name="40% - Ênfase2 3" xfId="77"/>
    <cellStyle name="40% - Ênfase2 3 2" xfId="78"/>
    <cellStyle name="40% - Ênfase3" xfId="79"/>
    <cellStyle name="40% - Ênfase3 2" xfId="80"/>
    <cellStyle name="40% - Ênfase3 2 2" xfId="81"/>
    <cellStyle name="40% - Ênfase3 3" xfId="82"/>
    <cellStyle name="40% - Ênfase3 3 2" xfId="83"/>
    <cellStyle name="40% - Ênfase4" xfId="84"/>
    <cellStyle name="40% - Ênfase4 2" xfId="85"/>
    <cellStyle name="40% - Ênfase4 2 2" xfId="86"/>
    <cellStyle name="40% - Ênfase4 3" xfId="87"/>
    <cellStyle name="40% - Ênfase4 3 2" xfId="88"/>
    <cellStyle name="40% - Ênfase5" xfId="89"/>
    <cellStyle name="40% - Ênfase5 2" xfId="90"/>
    <cellStyle name="40% - Ênfase5 2 2" xfId="91"/>
    <cellStyle name="40% - Ênfase5 3" xfId="92"/>
    <cellStyle name="40% - Ênfase5 3 2" xfId="93"/>
    <cellStyle name="40% - Ênfase6" xfId="94"/>
    <cellStyle name="40% - Ênfase6 2" xfId="95"/>
    <cellStyle name="40% - Ênfase6 2 2" xfId="96"/>
    <cellStyle name="40% - Ênfase6 3" xfId="97"/>
    <cellStyle name="40% - Ênfase6 3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60% - Ênfase1" xfId="111"/>
    <cellStyle name="60% - Ênfase1 2" xfId="112"/>
    <cellStyle name="60% - Ênfase1 2 2" xfId="113"/>
    <cellStyle name="60% - Ênfase1 3" xfId="114"/>
    <cellStyle name="60% - Ênfase1 3 2" xfId="115"/>
    <cellStyle name="60% - Ênfase2" xfId="116"/>
    <cellStyle name="60% - Ênfase2 2" xfId="117"/>
    <cellStyle name="60% - Ênfase2 2 2" xfId="118"/>
    <cellStyle name="60% - Ênfase2 3" xfId="119"/>
    <cellStyle name="60% - Ênfase2 3 2" xfId="120"/>
    <cellStyle name="60% - Ênfase3" xfId="121"/>
    <cellStyle name="60% - Ênfase3 2" xfId="122"/>
    <cellStyle name="60% - Ênfase3 2 2" xfId="123"/>
    <cellStyle name="60% - Ênfase3 3" xfId="124"/>
    <cellStyle name="60% - Ênfase3 3 2" xfId="125"/>
    <cellStyle name="60% - Ênfase4" xfId="126"/>
    <cellStyle name="60% - Ênfase4 2" xfId="127"/>
    <cellStyle name="60% - Ênfase4 2 2" xfId="128"/>
    <cellStyle name="60% - Ênfase4 3" xfId="129"/>
    <cellStyle name="60% - Ênfase4 3 2" xfId="130"/>
    <cellStyle name="60% - Ênfase5" xfId="131"/>
    <cellStyle name="60% - Ênfase5 2" xfId="132"/>
    <cellStyle name="60% - Ênfase5 2 2" xfId="133"/>
    <cellStyle name="60% - Ênfase5 3" xfId="134"/>
    <cellStyle name="60% - Ênfase5 3 2" xfId="135"/>
    <cellStyle name="60% - Ênfase6" xfId="136"/>
    <cellStyle name="60% - Ênfase6 2" xfId="137"/>
    <cellStyle name="60% - Ênfase6 2 2" xfId="138"/>
    <cellStyle name="60% - Ênfase6 3" xfId="139"/>
    <cellStyle name="60% - Ênfase6 3 2" xfId="140"/>
    <cellStyle name="Accent1" xfId="141"/>
    <cellStyle name="Accent1 2" xfId="142"/>
    <cellStyle name="Accent2" xfId="143"/>
    <cellStyle name="Accent2 2" xfId="144"/>
    <cellStyle name="Accent3" xfId="145"/>
    <cellStyle name="Accent3 2" xfId="146"/>
    <cellStyle name="Accent4" xfId="147"/>
    <cellStyle name="Accent4 2" xfId="148"/>
    <cellStyle name="Accent5" xfId="149"/>
    <cellStyle name="Accent5 2" xfId="150"/>
    <cellStyle name="Accent6" xfId="151"/>
    <cellStyle name="Accent6 2" xfId="152"/>
    <cellStyle name="Bad" xfId="153"/>
    <cellStyle name="Bad 1" xfId="154"/>
    <cellStyle name="Bom" xfId="155"/>
    <cellStyle name="Bom 2" xfId="156"/>
    <cellStyle name="Bom 2 2" xfId="157"/>
    <cellStyle name="Bom 3" xfId="158"/>
    <cellStyle name="Bom 3 2" xfId="159"/>
    <cellStyle name="Calculation" xfId="160"/>
    <cellStyle name="Calculation 2" xfId="161"/>
    <cellStyle name="Cálculo" xfId="162"/>
    <cellStyle name="Cálculo 2" xfId="163"/>
    <cellStyle name="Cálculo 2 2" xfId="164"/>
    <cellStyle name="Cálculo 3" xfId="165"/>
    <cellStyle name="Cálculo 3 2" xfId="166"/>
    <cellStyle name="Cancel" xfId="167"/>
    <cellStyle name="Cancel 2" xfId="168"/>
    <cellStyle name="Cancel 3" xfId="169"/>
    <cellStyle name="Célula de Verificação" xfId="170"/>
    <cellStyle name="Célula de Verificação 2" xfId="171"/>
    <cellStyle name="Célula de Verificação 2 2" xfId="172"/>
    <cellStyle name="Célula de Verificação 3" xfId="173"/>
    <cellStyle name="Célula de Verificação 3 2" xfId="174"/>
    <cellStyle name="Célula Vinculada" xfId="175"/>
    <cellStyle name="Célula Vinculada 2" xfId="176"/>
    <cellStyle name="Célula Vinculada 2 2" xfId="177"/>
    <cellStyle name="Célula Vinculada 3" xfId="178"/>
    <cellStyle name="Célula Vinculada 3 2" xfId="179"/>
    <cellStyle name="Check Cell" xfId="180"/>
    <cellStyle name="Check Cell 2" xfId="181"/>
    <cellStyle name="Data" xfId="182"/>
    <cellStyle name="Data 2" xfId="183"/>
    <cellStyle name="Data 3" xfId="184"/>
    <cellStyle name="Ênfase1" xfId="185"/>
    <cellStyle name="Ênfase1 2" xfId="186"/>
    <cellStyle name="Ênfase1 2 2" xfId="187"/>
    <cellStyle name="Ênfase1 3" xfId="188"/>
    <cellStyle name="Ênfase1 3 2" xfId="189"/>
    <cellStyle name="Ênfase2" xfId="190"/>
    <cellStyle name="Ênfase2 2" xfId="191"/>
    <cellStyle name="Ênfase2 2 2" xfId="192"/>
    <cellStyle name="Ênfase2 3" xfId="193"/>
    <cellStyle name="Ênfase2 3 2" xfId="194"/>
    <cellStyle name="Ênfase3" xfId="195"/>
    <cellStyle name="Ênfase3 2" xfId="196"/>
    <cellStyle name="Ênfase3 2 2" xfId="197"/>
    <cellStyle name="Ênfase3 3" xfId="198"/>
    <cellStyle name="Ênfase3 3 2" xfId="199"/>
    <cellStyle name="Ênfase4" xfId="200"/>
    <cellStyle name="Ênfase4 2" xfId="201"/>
    <cellStyle name="Ênfase4 2 2" xfId="202"/>
    <cellStyle name="Ênfase4 3" xfId="203"/>
    <cellStyle name="Ênfase4 3 2" xfId="204"/>
    <cellStyle name="Ênfase5" xfId="205"/>
    <cellStyle name="Ênfase5 2" xfId="206"/>
    <cellStyle name="Ênfase5 2 2" xfId="207"/>
    <cellStyle name="Ênfase5 3" xfId="208"/>
    <cellStyle name="Ênfase5 3 2" xfId="209"/>
    <cellStyle name="Ênfase6" xfId="210"/>
    <cellStyle name="Ênfase6 2" xfId="211"/>
    <cellStyle name="Ênfase6 2 2" xfId="212"/>
    <cellStyle name="Ênfase6 3" xfId="213"/>
    <cellStyle name="Ênfase6 3 2" xfId="214"/>
    <cellStyle name="Entrada" xfId="215"/>
    <cellStyle name="Entrada 2" xfId="216"/>
    <cellStyle name="Entrada 2 2" xfId="217"/>
    <cellStyle name="Entrada 3" xfId="218"/>
    <cellStyle name="Entrada 3 2" xfId="219"/>
    <cellStyle name="Excel Built-in Excel Built-in Excel Built-in Excel Built-in Excel Built-in Excel Built-in Excel Built-in Separador de milhares 4" xfId="220"/>
    <cellStyle name="Excel Built-in Excel Built-in Excel Built-in Excel Built-in Excel Built-in Excel Built-in Excel Built-in Separador de milhares 4 2" xfId="221"/>
    <cellStyle name="Excel Built-in Normal" xfId="222"/>
    <cellStyle name="Excel Built-in Normal 2" xfId="223"/>
    <cellStyle name="Excel Built-in Normal 2 2" xfId="224"/>
    <cellStyle name="Excel Built-in Normal 3" xfId="225"/>
    <cellStyle name="Explanatory Text" xfId="226"/>
    <cellStyle name="Fixo" xfId="227"/>
    <cellStyle name="Fixo 2" xfId="228"/>
    <cellStyle name="Fixo 3" xfId="229"/>
    <cellStyle name="Good" xfId="230"/>
    <cellStyle name="Good 1" xfId="231"/>
    <cellStyle name="Heading 1" xfId="232"/>
    <cellStyle name="Heading 1 1" xfId="233"/>
    <cellStyle name="Heading 2" xfId="234"/>
    <cellStyle name="Heading 2 1" xfId="235"/>
    <cellStyle name="Heading 3" xfId="236"/>
    <cellStyle name="Heading 4" xfId="237"/>
    <cellStyle name="Hyperlink" xfId="238"/>
    <cellStyle name="Followed Hyperlink" xfId="239"/>
    <cellStyle name="Incorreto" xfId="240"/>
    <cellStyle name="Incorreto 2" xfId="241"/>
    <cellStyle name="Incorreto 2 2" xfId="242"/>
    <cellStyle name="Incorreto 3" xfId="243"/>
    <cellStyle name="Incorreto 3 2" xfId="244"/>
    <cellStyle name="Input" xfId="245"/>
    <cellStyle name="Input 2" xfId="246"/>
    <cellStyle name="Linked Cell" xfId="247"/>
    <cellStyle name="Currency" xfId="248"/>
    <cellStyle name="Currency [0]" xfId="249"/>
    <cellStyle name="Moeda 2" xfId="250"/>
    <cellStyle name="Moeda 2 2" xfId="251"/>
    <cellStyle name="Moeda 2 2 2" xfId="252"/>
    <cellStyle name="Moeda 2 2 2 2" xfId="253"/>
    <cellStyle name="Moeda 2 2 2 3" xfId="254"/>
    <cellStyle name="Moeda 2 2 3" xfId="255"/>
    <cellStyle name="Moeda 2 2 4" xfId="256"/>
    <cellStyle name="Moeda 2 3" xfId="257"/>
    <cellStyle name="Moeda 2 3 2" xfId="258"/>
    <cellStyle name="Moeda 2 4" xfId="259"/>
    <cellStyle name="Moeda 2_Planilha de Composição de Custos - Copeiragem e Recepc MODELO" xfId="260"/>
    <cellStyle name="Moeda 3" xfId="261"/>
    <cellStyle name="Moeda 3 2" xfId="262"/>
    <cellStyle name="Moeda 4" xfId="263"/>
    <cellStyle name="Moeda 4 2" xfId="264"/>
    <cellStyle name="Moeda 5" xfId="265"/>
    <cellStyle name="Moeda 5 2" xfId="266"/>
    <cellStyle name="Moeda 6" xfId="267"/>
    <cellStyle name="Moeda 7" xfId="268"/>
    <cellStyle name="Moeda 8" xfId="269"/>
    <cellStyle name="Neutra" xfId="270"/>
    <cellStyle name="Neutra 2" xfId="271"/>
    <cellStyle name="Neutra 2 2" xfId="272"/>
    <cellStyle name="Neutra 3" xfId="273"/>
    <cellStyle name="Neutra 3 2" xfId="274"/>
    <cellStyle name="Neutral" xfId="275"/>
    <cellStyle name="Neutral 1" xfId="276"/>
    <cellStyle name="Neutro" xfId="277"/>
    <cellStyle name="Normal 10" xfId="278"/>
    <cellStyle name="Normal 141" xfId="279"/>
    <cellStyle name="Normal 142" xfId="280"/>
    <cellStyle name="Normal 147" xfId="281"/>
    <cellStyle name="Normal 152" xfId="282"/>
    <cellStyle name="Normal 153" xfId="283"/>
    <cellStyle name="Normal 155" xfId="284"/>
    <cellStyle name="Normal 156" xfId="285"/>
    <cellStyle name="Normal 158" xfId="286"/>
    <cellStyle name="Normal 159" xfId="287"/>
    <cellStyle name="Normal 160" xfId="288"/>
    <cellStyle name="Normal 161" xfId="289"/>
    <cellStyle name="Normal 165" xfId="290"/>
    <cellStyle name="Normal 166" xfId="291"/>
    <cellStyle name="Normal 173" xfId="292"/>
    <cellStyle name="Normal 2" xfId="293"/>
    <cellStyle name="Normal 2 2" xfId="294"/>
    <cellStyle name="Normal 2 2 2" xfId="295"/>
    <cellStyle name="Normal 2 2 3" xfId="296"/>
    <cellStyle name="Normal 2 3" xfId="297"/>
    <cellStyle name="Normal 2 4" xfId="298"/>
    <cellStyle name="Normal 2_022-007-ORC-R2 - 19NOV2014" xfId="299"/>
    <cellStyle name="Normal 3" xfId="300"/>
    <cellStyle name="Normal 3 3" xfId="301"/>
    <cellStyle name="Normal 3 3 2" xfId="302"/>
    <cellStyle name="Normal 4" xfId="303"/>
    <cellStyle name="Normal 5" xfId="304"/>
    <cellStyle name="Normal 6" xfId="305"/>
    <cellStyle name="Normal 7" xfId="306"/>
    <cellStyle name="Normal 8" xfId="307"/>
    <cellStyle name="Normal 85" xfId="308"/>
    <cellStyle name="Normal 87" xfId="309"/>
    <cellStyle name="Normal 9" xfId="310"/>
    <cellStyle name="Normal_PLANILHA - LICITAÇÃO CHIQUINHO DE CARVALHO" xfId="311"/>
    <cellStyle name="Normal_Planilha com Declaração RT" xfId="312"/>
    <cellStyle name="Nota" xfId="313"/>
    <cellStyle name="Nota 2" xfId="314"/>
    <cellStyle name="Nota 2 2" xfId="315"/>
    <cellStyle name="Nota 2 3" xfId="316"/>
    <cellStyle name="Nota 2_PLANILHA ORÇ. GERAL R5" xfId="317"/>
    <cellStyle name="Nota 3" xfId="318"/>
    <cellStyle name="Nota 3 2" xfId="319"/>
    <cellStyle name="Note" xfId="320"/>
    <cellStyle name="Note 1" xfId="321"/>
    <cellStyle name="Output" xfId="322"/>
    <cellStyle name="Output 2" xfId="323"/>
    <cellStyle name="Percentual" xfId="324"/>
    <cellStyle name="Percentual 2" xfId="325"/>
    <cellStyle name="Percentual 3" xfId="326"/>
    <cellStyle name="Ponto" xfId="327"/>
    <cellStyle name="Ponto 2" xfId="328"/>
    <cellStyle name="Ponto 3" xfId="329"/>
    <cellStyle name="Percent" xfId="330"/>
    <cellStyle name="Porcentagem 10" xfId="331"/>
    <cellStyle name="Porcentagem 2" xfId="332"/>
    <cellStyle name="Porcentagem 2 2" xfId="333"/>
    <cellStyle name="Porcentagem 2 3" xfId="334"/>
    <cellStyle name="Porcentagem 2 4" xfId="335"/>
    <cellStyle name="Porcentagem 3" xfId="336"/>
    <cellStyle name="Porcentagem 4" xfId="337"/>
    <cellStyle name="Porcentagem 5" xfId="338"/>
    <cellStyle name="Porcentagem 5 2" xfId="339"/>
    <cellStyle name="Porcentagem 6" xfId="340"/>
    <cellStyle name="Ruim" xfId="341"/>
    <cellStyle name="Saída" xfId="342"/>
    <cellStyle name="Saída 2" xfId="343"/>
    <cellStyle name="Saída 2 2" xfId="344"/>
    <cellStyle name="Saída 3" xfId="345"/>
    <cellStyle name="Saída 3 2" xfId="346"/>
    <cellStyle name="Separador de m" xfId="347"/>
    <cellStyle name="Separador de m 2" xfId="348"/>
    <cellStyle name="Separador de m 3" xfId="349"/>
    <cellStyle name="Comma [0]" xfId="350"/>
    <cellStyle name="Separador de milhares 10" xfId="351"/>
    <cellStyle name="Separador de milhares 10 2" xfId="352"/>
    <cellStyle name="Separador de milhares 10 2 2" xfId="353"/>
    <cellStyle name="Separador de milhares 10 3" xfId="354"/>
    <cellStyle name="Separador de milhares 2" xfId="355"/>
    <cellStyle name="Separador de milhares 2 2" xfId="356"/>
    <cellStyle name="Separador de milhares 2 2 2" xfId="357"/>
    <cellStyle name="Separador de milhares 2 2 3" xfId="358"/>
    <cellStyle name="Separador de milhares 2 3" xfId="359"/>
    <cellStyle name="Separador de milhares 2 3 2" xfId="360"/>
    <cellStyle name="Separador de milhares 2 4" xfId="361"/>
    <cellStyle name="Separador de milhares 3" xfId="362"/>
    <cellStyle name="Separador de milhares 3 2" xfId="363"/>
    <cellStyle name="Separador de milhares 3 2 2" xfId="364"/>
    <cellStyle name="Separador de milhares 4" xfId="365"/>
    <cellStyle name="Separador de milhares 4 2" xfId="366"/>
    <cellStyle name="Separador de milhares 4 2 2" xfId="367"/>
    <cellStyle name="Separador de milhares 5" xfId="368"/>
    <cellStyle name="Separador de milhares 5 2" xfId="369"/>
    <cellStyle name="Separador de milhares 5 2 2" xfId="370"/>
    <cellStyle name="Texto de Aviso" xfId="371"/>
    <cellStyle name="Texto de Aviso 2" xfId="372"/>
    <cellStyle name="Texto de Aviso 2 2" xfId="373"/>
    <cellStyle name="Texto de Aviso 3" xfId="374"/>
    <cellStyle name="Texto de Aviso 3 2" xfId="375"/>
    <cellStyle name="Texto Explicativo" xfId="376"/>
    <cellStyle name="Texto Explicativo 2" xfId="377"/>
    <cellStyle name="Texto Explicativo 2 2" xfId="378"/>
    <cellStyle name="Texto Explicativo 3" xfId="379"/>
    <cellStyle name="Texto Explicativo 3 2" xfId="380"/>
    <cellStyle name="Title" xfId="381"/>
    <cellStyle name="Título" xfId="382"/>
    <cellStyle name="Título 1" xfId="383"/>
    <cellStyle name="Título 1 2" xfId="384"/>
    <cellStyle name="Título 1 2 2" xfId="385"/>
    <cellStyle name="Título 1 3" xfId="386"/>
    <cellStyle name="Título 1 3 2" xfId="387"/>
    <cellStyle name="Título 2" xfId="388"/>
    <cellStyle name="Título 2 2" xfId="389"/>
    <cellStyle name="Título 2 2 2" xfId="390"/>
    <cellStyle name="Título 2 3" xfId="391"/>
    <cellStyle name="Título 2 3 2" xfId="392"/>
    <cellStyle name="Título 3" xfId="393"/>
    <cellStyle name="Título 3 2" xfId="394"/>
    <cellStyle name="Título 3 2 2" xfId="395"/>
    <cellStyle name="Título 3 3" xfId="396"/>
    <cellStyle name="Título 3 3 2" xfId="397"/>
    <cellStyle name="Título 4" xfId="398"/>
    <cellStyle name="Título 4 2" xfId="399"/>
    <cellStyle name="Título 4 2 2" xfId="400"/>
    <cellStyle name="Título 4 3" xfId="401"/>
    <cellStyle name="Título 4 3 2" xfId="402"/>
    <cellStyle name="Título 5" xfId="403"/>
    <cellStyle name="Título 5 2" xfId="404"/>
    <cellStyle name="Título 6" xfId="405"/>
    <cellStyle name="Título 6 2" xfId="406"/>
    <cellStyle name="Titulo1" xfId="407"/>
    <cellStyle name="Titulo1 2" xfId="408"/>
    <cellStyle name="Titulo1 3" xfId="409"/>
    <cellStyle name="Titulo2" xfId="410"/>
    <cellStyle name="Titulo2 2" xfId="411"/>
    <cellStyle name="Titulo2 3" xfId="412"/>
    <cellStyle name="Total" xfId="413"/>
    <cellStyle name="Total 2" xfId="414"/>
    <cellStyle name="Total 2 2" xfId="415"/>
    <cellStyle name="Total 3" xfId="416"/>
    <cellStyle name="Total 3 2" xfId="417"/>
    <cellStyle name="Comma" xfId="418"/>
    <cellStyle name="Vírgula 2" xfId="419"/>
    <cellStyle name="Vírgula 2 2" xfId="420"/>
    <cellStyle name="Vírgula 2 2 2" xfId="421"/>
    <cellStyle name="Vírgula 2 2 3" xfId="422"/>
    <cellStyle name="Vírgula 2 3" xfId="423"/>
    <cellStyle name="Vírgula 2 3 2" xfId="424"/>
    <cellStyle name="Vírgula 2 4" xfId="425"/>
    <cellStyle name="Vírgula 3" xfId="426"/>
    <cellStyle name="Vírgula 3 2" xfId="427"/>
    <cellStyle name="Vírgula 4" xfId="428"/>
    <cellStyle name="Vírgula 4 2" xfId="429"/>
    <cellStyle name="Vírgula 5" xfId="430"/>
    <cellStyle name="Vírgula 5 2" xfId="431"/>
    <cellStyle name="Vírgula 6" xfId="432"/>
    <cellStyle name="Vírgula 7" xfId="433"/>
    <cellStyle name="Vírgula 8" xfId="434"/>
    <cellStyle name="Warning Text" xfId="435"/>
  </cellStyles>
  <dxfs count="10">
    <dxf>
      <font>
        <color indexed="10"/>
      </font>
      <fill>
        <patternFill>
          <bgColor indexed="43"/>
        </patternFill>
      </fill>
    </dxf>
    <dxf>
      <font>
        <color indexed="12"/>
      </font>
      <fill>
        <patternFill>
          <bgColor indexed="27"/>
        </patternFill>
      </fill>
    </dxf>
    <dxf>
      <fill>
        <patternFill patternType="gray125">
          <bgColor indexed="51"/>
        </patternFill>
      </fill>
    </dxf>
    <dxf>
      <font>
        <b/>
        <i/>
        <color indexed="10"/>
      </font>
    </dxf>
    <dxf>
      <fill>
        <patternFill patternType="gray0625">
          <bgColor indexed="51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color indexed="10"/>
      </font>
    </dxf>
    <dxf>
      <font>
        <color indexed="10"/>
      </font>
    </dxf>
    <dxf>
      <font>
        <b val="0"/>
        <color indexed="10"/>
      </font>
    </dxf>
    <dxf>
      <font>
        <b/>
        <i val="0"/>
        <color rgb="FF000000"/>
      </font>
      <fill>
        <patternFill patternType="solid">
          <fgColor rgb="FF808080"/>
          <bgColor rgb="FF96969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B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DFB2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47625</xdr:rowOff>
    </xdr:from>
    <xdr:to>
      <xdr:col>5</xdr:col>
      <xdr:colOff>381000</xdr:colOff>
      <xdr:row>0</xdr:row>
      <xdr:rowOff>685800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1952625" y="47625"/>
          <a:ext cx="50482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LAGOA SANTA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Municipal de desenvolvimento Urbano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Obras</a:t>
          </a:r>
        </a:p>
      </xdr:txBody>
    </xdr:sp>
    <xdr:clientData/>
  </xdr:twoCellAnchor>
  <xdr:twoCellAnchor>
    <xdr:from>
      <xdr:col>1</xdr:col>
      <xdr:colOff>66675</xdr:colOff>
      <xdr:row>0</xdr:row>
      <xdr:rowOff>38100</xdr:rowOff>
    </xdr:from>
    <xdr:to>
      <xdr:col>3</xdr:col>
      <xdr:colOff>0</xdr:colOff>
      <xdr:row>0</xdr:row>
      <xdr:rowOff>762000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13716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Meus%20documentos\Egesa-antigos\TO-134\Meus%20Documentos\FV-DNE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ontas.tcu.gov.br/Users\Richelieu\Desktop\DIPAC\TERMOS_DE_REFER&#202;NCIA\LIMPEZA_COPEIRAGEM\SE_MA\Custo%20Material%20e%20Equipamentos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Meus%20documentos\Egesa-antigos\TO-134\0798\TECNICO\TEACOMP\LOTE06\P09\P10\RELAT6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Meus%20documentos\EGESA\Br-482mg\Volume1\CANA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Projetos\Marcilio\TO-010\Meus%20documentos\EGESA\Br-482mg\Volume1\CANA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quivos%20internos\Quadro%20de%20quantidades\ORCAMEN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MLS\PAVIMENTA&#199;&#195;O%20MINIST&#201;RIO\PLANILHA%20MODELO%20PAVIMENTA&#199;&#195;O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MLS\MODELO%20PLANILHA%20E%20BDI%20ATUALIZADO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%20REVISAO%20GR\PLANILHA%20OR&#199;AMENT&#193;RIA%20MODELO%20R0%20-%20JESSI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QUIVOS%20SEOS\EDUCA&#199;&#195;O\ARQUIVO2018\2%20PARTE%20OBRA%20ESCOLA%20D.MARUCAS%20-%20A%20LICITAR\CD%20LICITA&#199;&#195;O\PLANILHA%20OR&#199;AMENT&#193;RIA%20MARUCAS%20R5%20-%20LICITA&#199;&#195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Vorigi"/>
      <sheetName val="FVmodif"/>
      <sheetName val="FVresumo"/>
      <sheetName val="FVadotar"/>
      <sheetName val="Calculo4010"/>
      <sheetName val="ExempFC1"/>
      <sheetName val="ExemFC2"/>
      <sheetName val="ExemFC3"/>
      <sheetName val="Exemp1"/>
      <sheetName val="Exemp2"/>
      <sheetName val="Exemp3"/>
      <sheetName val="Exemp4"/>
      <sheetName val="Exemp5"/>
      <sheetName val="Exemp6"/>
      <sheetName val="Exemp7"/>
      <sheetName val="Exemp8"/>
      <sheetName val="PROJETO"/>
      <sheetName val="Exerci1"/>
      <sheetName val="Exerci2"/>
      <sheetName val="PROVA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teriais"/>
      <sheetName val="Equipamentos"/>
      <sheetName val="ORÇ EQUIP"/>
      <sheetName val="QuQua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_ORIGINAL"/>
      <sheetName val="RESUMO_AU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Quant-Vol1 (2)"/>
      <sheetName val="QQegesa"/>
      <sheetName val="QQuant-Vol1"/>
      <sheetName val="Licitação"/>
      <sheetName val="QQegesa-ant"/>
      <sheetName val="QQUANT"/>
      <sheetName val="QQder"/>
      <sheetName val="NumerN"/>
      <sheetName val="BS"/>
      <sheetName val="FR"/>
      <sheetName val="Dimens"/>
      <sheetName val="QuantPav"/>
      <sheetName val="QuQuant"/>
      <sheetName val="NumerN (2)"/>
      <sheetName val="Dimens (2)"/>
      <sheetName val="QuantPav (2)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Quant-Vol1 (2)"/>
      <sheetName val="QQegesa"/>
      <sheetName val="QQuant-Vol1"/>
      <sheetName val="Licitação"/>
      <sheetName val="QQegesa-ant"/>
      <sheetName val="QQUANT"/>
      <sheetName val="QQder"/>
      <sheetName val="NumerN"/>
      <sheetName val="BS"/>
      <sheetName val="FR"/>
      <sheetName val="Dimens"/>
      <sheetName val="QuantPav"/>
      <sheetName val="QuQuant"/>
      <sheetName val="NumerN (2)"/>
      <sheetName val="Dimens (2)"/>
      <sheetName val="QuantPav (2)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orcamentodnerL1"/>
      <sheetName val="qorcamentodnerL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ARIA MODELO"/>
      <sheetName val="ORÇAMENTARARIA SETOP"/>
      <sheetName val="ORÇAMENTARIA SINAPI"/>
      <sheetName val="ORÇAMENTARIA SUDECAP"/>
      <sheetName val="Mémoria de Cálculo - obra"/>
      <sheetName val="CRONOGRAMA"/>
      <sheetName val="RUA MATO GROSSO"/>
    </sheetNames>
    <sheetDataSet>
      <sheetData sheetId="0">
        <row r="5">
          <cell r="A5" t="str">
            <v>CONVENENTE: PREFEITURA MUNICIPAL DE LAGOA SANTA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BDI TCU 2622 - EDIF"/>
      <sheetName val="BDI TCU 2622 -URBANAS "/>
      <sheetName val="BDI TCU 2622 -SANEAMENTO"/>
      <sheetName val="BDI TCU 2622 - ELET"/>
      <sheetName val="BDI TCU 2622 - MAT.EQUIP"/>
      <sheetName val="BDI TCU 2622 PORT.MAR.FLU"/>
      <sheetName val="QCI"/>
      <sheetName val="CRONOGRAMA FINAN"/>
      <sheetName val="CRONOGRAMA FÍSICO"/>
    </sheetNames>
    <sheetDataSet>
      <sheetData sheetId="0">
        <row r="11">
          <cell r="N11" t="str">
            <v>MG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ARIA GERAL"/>
      <sheetName val="CRONOGRAMA"/>
      <sheetName val="BDI TCU 2622 - EDI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ARIA GERAL"/>
      <sheetName val="CRONOGRAMA"/>
      <sheetName val="BDI TCU 2622 - EDIF"/>
      <sheetName val="COMPOSIÇÃO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30"/>
  <sheetViews>
    <sheetView showGridLines="0" showZeros="0" view="pageBreakPreview" zoomScaleSheetLayoutView="100" zoomScalePageLayoutView="0" workbookViewId="0" topLeftCell="A296">
      <selection activeCell="K299" sqref="K299"/>
    </sheetView>
  </sheetViews>
  <sheetFormatPr defaultColWidth="9.140625" defaultRowHeight="12.75"/>
  <cols>
    <col min="1" max="1" width="2.8515625" style="1" customWidth="1"/>
    <col min="2" max="2" width="7.57421875" style="1" customWidth="1"/>
    <col min="3" max="3" width="14.00390625" style="110" customWidth="1"/>
    <col min="4" max="4" width="65.7109375" style="108" customWidth="1"/>
    <col min="5" max="5" width="9.140625" style="110" customWidth="1"/>
    <col min="6" max="6" width="12.00390625" style="1" customWidth="1"/>
    <col min="7" max="7" width="12.8515625" style="2" customWidth="1"/>
    <col min="8" max="8" width="11.7109375" style="2" customWidth="1"/>
    <col min="9" max="9" width="13.00390625" style="2" customWidth="1"/>
    <col min="10" max="10" width="20.28125" style="1" customWidth="1"/>
    <col min="11" max="11" width="13.8515625" style="1" bestFit="1" customWidth="1"/>
    <col min="12" max="12" width="13.140625" style="1" bestFit="1" customWidth="1"/>
    <col min="13" max="13" width="9.140625" style="1" customWidth="1"/>
    <col min="14" max="14" width="12.00390625" style="1" bestFit="1" customWidth="1"/>
    <col min="15" max="16384" width="9.140625" style="1" customWidth="1"/>
  </cols>
  <sheetData>
    <row r="1" spans="1:9" ht="60.75" customHeight="1">
      <c r="A1" s="343"/>
      <c r="B1" s="404"/>
      <c r="C1" s="405"/>
      <c r="D1" s="406"/>
      <c r="E1" s="406"/>
      <c r="F1" s="406"/>
      <c r="G1" s="406"/>
      <c r="H1" s="406"/>
      <c r="I1" s="407"/>
    </row>
    <row r="2" spans="1:9" ht="3.75" customHeight="1" thickBot="1">
      <c r="A2" s="331"/>
      <c r="B2" s="408"/>
      <c r="C2" s="409"/>
      <c r="D2" s="409"/>
      <c r="E2" s="409"/>
      <c r="F2" s="409"/>
      <c r="G2" s="409"/>
      <c r="H2" s="409"/>
      <c r="I2" s="410"/>
    </row>
    <row r="3" spans="1:9" ht="19.5" customHeight="1" thickBot="1">
      <c r="A3" s="331"/>
      <c r="B3" s="411" t="s">
        <v>762</v>
      </c>
      <c r="C3" s="412"/>
      <c r="D3" s="412"/>
      <c r="E3" s="412"/>
      <c r="F3" s="412"/>
      <c r="G3" s="412"/>
      <c r="H3" s="412"/>
      <c r="I3" s="413"/>
    </row>
    <row r="4" spans="1:9" ht="3.75" customHeight="1" thickBot="1">
      <c r="A4" s="331"/>
      <c r="B4" s="290"/>
      <c r="C4" s="3"/>
      <c r="D4" s="103"/>
      <c r="E4" s="3"/>
      <c r="F4" s="3"/>
      <c r="G4" s="4"/>
      <c r="H4" s="4"/>
      <c r="I4" s="291"/>
    </row>
    <row r="5" spans="1:9" ht="19.5" customHeight="1">
      <c r="A5" s="331"/>
      <c r="B5" s="400" t="s">
        <v>5</v>
      </c>
      <c r="C5" s="401"/>
      <c r="D5" s="401"/>
      <c r="E5" s="401"/>
      <c r="F5" s="401"/>
      <c r="G5" s="402" t="s">
        <v>6</v>
      </c>
      <c r="H5" s="402"/>
      <c r="I5" s="403"/>
    </row>
    <row r="6" spans="1:9" ht="19.5" customHeight="1">
      <c r="A6" s="331"/>
      <c r="B6" s="414" t="s">
        <v>534</v>
      </c>
      <c r="C6" s="415"/>
      <c r="D6" s="415"/>
      <c r="E6" s="415"/>
      <c r="F6" s="415"/>
      <c r="G6" s="416" t="s">
        <v>7</v>
      </c>
      <c r="H6" s="416"/>
      <c r="I6" s="417"/>
    </row>
    <row r="7" spans="1:9" ht="25.5" customHeight="1">
      <c r="A7" s="331"/>
      <c r="B7" s="418" t="s">
        <v>737</v>
      </c>
      <c r="C7" s="419"/>
      <c r="D7" s="419"/>
      <c r="E7" s="419"/>
      <c r="F7" s="420" t="s">
        <v>8</v>
      </c>
      <c r="G7" s="420"/>
      <c r="H7" s="420"/>
      <c r="I7" s="421"/>
    </row>
    <row r="8" spans="1:9" ht="19.5" customHeight="1" thickBot="1">
      <c r="A8" s="331"/>
      <c r="B8" s="414" t="s">
        <v>9</v>
      </c>
      <c r="C8" s="415"/>
      <c r="D8" s="415"/>
      <c r="E8" s="415"/>
      <c r="F8" s="422" t="s">
        <v>10</v>
      </c>
      <c r="G8" s="423" t="s">
        <v>11</v>
      </c>
      <c r="H8" s="5"/>
      <c r="I8" s="292" t="s">
        <v>12</v>
      </c>
    </row>
    <row r="9" spans="1:10" ht="19.5" customHeight="1" thickBot="1">
      <c r="A9" s="331"/>
      <c r="B9" s="424" t="s">
        <v>450</v>
      </c>
      <c r="C9" s="425"/>
      <c r="D9" s="425"/>
      <c r="E9" s="425"/>
      <c r="F9" s="422"/>
      <c r="G9" s="423"/>
      <c r="H9" s="6"/>
      <c r="I9" s="293">
        <v>0.3148</v>
      </c>
      <c r="J9" s="7"/>
    </row>
    <row r="10" spans="1:9" ht="3.75" customHeight="1" thickBot="1">
      <c r="A10" s="331"/>
      <c r="B10" s="433"/>
      <c r="C10" s="434"/>
      <c r="D10" s="434"/>
      <c r="E10" s="434"/>
      <c r="F10" s="434"/>
      <c r="G10" s="434"/>
      <c r="H10" s="434"/>
      <c r="I10" s="435"/>
    </row>
    <row r="11" spans="1:9" ht="19.5" customHeight="1">
      <c r="A11" s="331"/>
      <c r="B11" s="436" t="s">
        <v>13</v>
      </c>
      <c r="C11" s="437"/>
      <c r="D11" s="437"/>
      <c r="E11" s="437"/>
      <c r="F11" s="437"/>
      <c r="G11" s="437"/>
      <c r="H11" s="437"/>
      <c r="I11" s="438"/>
    </row>
    <row r="12" spans="1:9" ht="24" customHeight="1">
      <c r="A12" s="331"/>
      <c r="B12" s="439" t="s">
        <v>14</v>
      </c>
      <c r="C12" s="440"/>
      <c r="D12" s="440"/>
      <c r="E12" s="440"/>
      <c r="F12" s="440"/>
      <c r="G12" s="440"/>
      <c r="H12" s="440"/>
      <c r="I12" s="441"/>
    </row>
    <row r="13" spans="1:9" ht="38.25">
      <c r="A13" s="331"/>
      <c r="B13" s="294" t="s">
        <v>15</v>
      </c>
      <c r="C13" s="163" t="s">
        <v>16</v>
      </c>
      <c r="D13" s="164" t="s">
        <v>17</v>
      </c>
      <c r="E13" s="163" t="s">
        <v>18</v>
      </c>
      <c r="F13" s="163" t="s">
        <v>19</v>
      </c>
      <c r="G13" s="165" t="s">
        <v>20</v>
      </c>
      <c r="H13" s="165" t="s">
        <v>21</v>
      </c>
      <c r="I13" s="295" t="s">
        <v>22</v>
      </c>
    </row>
    <row r="14" spans="1:9" ht="20.25" customHeight="1">
      <c r="A14" s="331"/>
      <c r="B14" s="193">
        <v>1</v>
      </c>
      <c r="C14" s="194"/>
      <c r="D14" s="195" t="s">
        <v>435</v>
      </c>
      <c r="E14" s="196"/>
      <c r="F14" s="197"/>
      <c r="G14" s="198"/>
      <c r="H14" s="199"/>
      <c r="I14" s="200">
        <f>SUM(I15:I21)</f>
        <v>285242.76</v>
      </c>
    </row>
    <row r="15" spans="1:11" ht="25.5">
      <c r="A15" s="331"/>
      <c r="B15" s="162" t="s">
        <v>24</v>
      </c>
      <c r="C15" s="136" t="s">
        <v>449</v>
      </c>
      <c r="D15" s="137" t="s">
        <v>436</v>
      </c>
      <c r="E15" s="133" t="s">
        <v>437</v>
      </c>
      <c r="F15" s="132">
        <v>4</v>
      </c>
      <c r="G15" s="131">
        <v>12488.98</v>
      </c>
      <c r="H15" s="15">
        <f>ROUND(G15+(G15*$I$9),2)</f>
        <v>16420.51</v>
      </c>
      <c r="I15" s="296">
        <f>ROUND((F15*H15),2)</f>
        <v>65682.04</v>
      </c>
      <c r="J15" s="16"/>
      <c r="K15" s="16"/>
    </row>
    <row r="16" spans="1:11" ht="25.5">
      <c r="A16" s="331"/>
      <c r="B16" s="135" t="s">
        <v>28</v>
      </c>
      <c r="C16" s="130" t="s">
        <v>438</v>
      </c>
      <c r="D16" s="123" t="s">
        <v>439</v>
      </c>
      <c r="E16" s="94" t="s">
        <v>437</v>
      </c>
      <c r="F16" s="134">
        <v>4</v>
      </c>
      <c r="G16" s="89">
        <v>5439</v>
      </c>
      <c r="H16" s="15">
        <f aca="true" t="shared" si="0" ref="H16:H21">ROUND(G16+(G16*$I$9),2)</f>
        <v>7151.2</v>
      </c>
      <c r="I16" s="296">
        <f aca="true" t="shared" si="1" ref="I16:I21">ROUND((F16*H16),2)</f>
        <v>28604.8</v>
      </c>
      <c r="J16" s="16"/>
      <c r="K16" s="16"/>
    </row>
    <row r="17" spans="1:11" ht="18" customHeight="1">
      <c r="A17" s="331"/>
      <c r="B17" s="162" t="s">
        <v>29</v>
      </c>
      <c r="C17" s="94" t="s">
        <v>440</v>
      </c>
      <c r="D17" s="95" t="s">
        <v>441</v>
      </c>
      <c r="E17" s="94" t="s">
        <v>437</v>
      </c>
      <c r="F17" s="134">
        <v>4</v>
      </c>
      <c r="G17" s="89">
        <v>3178.3</v>
      </c>
      <c r="H17" s="15">
        <f t="shared" si="0"/>
        <v>4178.83</v>
      </c>
      <c r="I17" s="296">
        <f t="shared" si="1"/>
        <v>16715.32</v>
      </c>
      <c r="J17" s="16">
        <f>G17*$I10</f>
        <v>0</v>
      </c>
      <c r="K17" s="16"/>
    </row>
    <row r="18" spans="1:11" ht="18" customHeight="1">
      <c r="A18" s="331"/>
      <c r="B18" s="135" t="s">
        <v>32</v>
      </c>
      <c r="C18" s="94" t="s">
        <v>442</v>
      </c>
      <c r="D18" s="95" t="s">
        <v>443</v>
      </c>
      <c r="E18" s="94" t="s">
        <v>437</v>
      </c>
      <c r="F18" s="129">
        <v>4</v>
      </c>
      <c r="G18" s="129">
        <v>4502.9</v>
      </c>
      <c r="H18" s="15">
        <f t="shared" si="0"/>
        <v>5920.41</v>
      </c>
      <c r="I18" s="296">
        <f t="shared" si="1"/>
        <v>23681.64</v>
      </c>
      <c r="J18" s="16"/>
      <c r="K18" s="16"/>
    </row>
    <row r="19" spans="1:11" ht="18" customHeight="1">
      <c r="A19" s="331"/>
      <c r="B19" s="162" t="s">
        <v>35</v>
      </c>
      <c r="C19" s="94">
        <v>88326</v>
      </c>
      <c r="D19" s="95" t="s">
        <v>444</v>
      </c>
      <c r="E19" s="94" t="s">
        <v>738</v>
      </c>
      <c r="F19" s="129">
        <f>660*4</f>
        <v>2640</v>
      </c>
      <c r="G19" s="129">
        <v>18.74</v>
      </c>
      <c r="H19" s="15">
        <f t="shared" si="0"/>
        <v>24.64</v>
      </c>
      <c r="I19" s="296">
        <f t="shared" si="1"/>
        <v>65049.6</v>
      </c>
      <c r="J19" s="16"/>
      <c r="K19" s="16"/>
    </row>
    <row r="20" spans="1:11" ht="25.5">
      <c r="A20" s="331"/>
      <c r="B20" s="135" t="s">
        <v>36</v>
      </c>
      <c r="C20" s="128" t="s">
        <v>445</v>
      </c>
      <c r="D20" s="127" t="s">
        <v>446</v>
      </c>
      <c r="E20" s="94" t="s">
        <v>437</v>
      </c>
      <c r="F20" s="129">
        <v>4</v>
      </c>
      <c r="G20" s="129">
        <v>11944.8</v>
      </c>
      <c r="H20" s="15">
        <f t="shared" si="0"/>
        <v>15705.02</v>
      </c>
      <c r="I20" s="296">
        <f t="shared" si="1"/>
        <v>62820.08</v>
      </c>
      <c r="J20" s="16"/>
      <c r="K20" s="16"/>
    </row>
    <row r="21" spans="1:14" ht="18.75" customHeight="1">
      <c r="A21" s="331"/>
      <c r="B21" s="162" t="s">
        <v>39</v>
      </c>
      <c r="C21" s="130" t="s">
        <v>447</v>
      </c>
      <c r="D21" s="123" t="s">
        <v>448</v>
      </c>
      <c r="E21" s="94" t="s">
        <v>437</v>
      </c>
      <c r="F21" s="129">
        <v>8</v>
      </c>
      <c r="G21" s="129">
        <v>2157.1</v>
      </c>
      <c r="H21" s="15">
        <f t="shared" si="0"/>
        <v>2836.16</v>
      </c>
      <c r="I21" s="296">
        <f t="shared" si="1"/>
        <v>22689.28</v>
      </c>
      <c r="J21" s="16"/>
      <c r="K21" s="16"/>
      <c r="L21" s="57"/>
      <c r="M21" s="57"/>
      <c r="N21" s="57"/>
    </row>
    <row r="22" spans="1:14" ht="18.75" customHeight="1">
      <c r="A22" s="344"/>
      <c r="B22" s="201">
        <v>2</v>
      </c>
      <c r="C22" s="202"/>
      <c r="D22" s="203" t="s">
        <v>535</v>
      </c>
      <c r="E22" s="204"/>
      <c r="F22" s="205"/>
      <c r="G22" s="206"/>
      <c r="H22" s="207"/>
      <c r="I22" s="297">
        <f>SUM(I23:I27)</f>
        <v>26674.92</v>
      </c>
      <c r="J22" s="57"/>
      <c r="K22" s="57"/>
      <c r="L22" s="57"/>
      <c r="M22" s="57"/>
      <c r="N22" s="57"/>
    </row>
    <row r="23" spans="1:14" ht="18.75" customHeight="1">
      <c r="A23" s="331"/>
      <c r="B23" s="162" t="s">
        <v>52</v>
      </c>
      <c r="C23" s="184" t="s">
        <v>538</v>
      </c>
      <c r="D23" s="182" t="s">
        <v>536</v>
      </c>
      <c r="E23" s="184" t="s">
        <v>739</v>
      </c>
      <c r="F23" s="129">
        <v>1</v>
      </c>
      <c r="G23" s="183">
        <v>951.19</v>
      </c>
      <c r="H23" s="87">
        <f>ROUND(G23+(G23*$I$9),2)</f>
        <v>1250.62</v>
      </c>
      <c r="I23" s="90">
        <f>ROUND((F23*H23),2)</f>
        <v>1250.62</v>
      </c>
      <c r="J23" s="208"/>
      <c r="K23" s="208"/>
      <c r="L23" s="208"/>
      <c r="M23" s="57"/>
      <c r="N23" s="57"/>
    </row>
    <row r="24" spans="1:14" ht="18.75" customHeight="1">
      <c r="A24" s="331"/>
      <c r="B24" s="162" t="s">
        <v>55</v>
      </c>
      <c r="C24" s="184" t="s">
        <v>539</v>
      </c>
      <c r="D24" s="182" t="s">
        <v>537</v>
      </c>
      <c r="E24" s="184" t="s">
        <v>739</v>
      </c>
      <c r="F24" s="129">
        <v>2</v>
      </c>
      <c r="G24" s="183">
        <v>529.2</v>
      </c>
      <c r="H24" s="87">
        <f aca="true" t="shared" si="2" ref="H24:H46">ROUND(G24+(G24*$I$9),2)</f>
        <v>695.79</v>
      </c>
      <c r="I24" s="90">
        <f>ROUND((F24*H24),2)</f>
        <v>1391.58</v>
      </c>
      <c r="J24" s="208"/>
      <c r="K24" s="208"/>
      <c r="L24" s="208"/>
      <c r="M24" s="57"/>
      <c r="N24" s="57"/>
    </row>
    <row r="25" spans="1:14" ht="18.75" customHeight="1">
      <c r="A25" s="331"/>
      <c r="B25" s="162" t="s">
        <v>57</v>
      </c>
      <c r="C25" s="130" t="s">
        <v>541</v>
      </c>
      <c r="D25" s="393" t="s">
        <v>540</v>
      </c>
      <c r="E25" s="184" t="s">
        <v>739</v>
      </c>
      <c r="F25" s="129">
        <v>2</v>
      </c>
      <c r="G25" s="183" t="s">
        <v>542</v>
      </c>
      <c r="H25" s="87">
        <f t="shared" si="2"/>
        <v>1717.8</v>
      </c>
      <c r="I25" s="90">
        <f>ROUND((F25*H25),2)</f>
        <v>3435.6</v>
      </c>
      <c r="J25" s="181"/>
      <c r="K25" s="181"/>
      <c r="L25" s="181"/>
      <c r="M25" s="57"/>
      <c r="N25" s="57"/>
    </row>
    <row r="26" spans="1:14" ht="18.75" customHeight="1">
      <c r="A26" s="331"/>
      <c r="B26" s="162" t="s">
        <v>747</v>
      </c>
      <c r="C26" s="130" t="s">
        <v>750</v>
      </c>
      <c r="D26" s="393" t="s">
        <v>749</v>
      </c>
      <c r="E26" s="184" t="s">
        <v>739</v>
      </c>
      <c r="F26" s="129">
        <v>10</v>
      </c>
      <c r="G26" s="183" t="s">
        <v>751</v>
      </c>
      <c r="H26" s="87">
        <f t="shared" si="2"/>
        <v>1751.52</v>
      </c>
      <c r="I26" s="90">
        <f>ROUND((F26*H26),2)</f>
        <v>17515.2</v>
      </c>
      <c r="J26" s="181"/>
      <c r="K26" s="181"/>
      <c r="L26" s="181"/>
      <c r="M26" s="57"/>
      <c r="N26" s="57"/>
    </row>
    <row r="27" spans="1:14" ht="18.75" customHeight="1">
      <c r="A27" s="331"/>
      <c r="B27" s="389" t="s">
        <v>748</v>
      </c>
      <c r="C27" s="390" t="s">
        <v>754</v>
      </c>
      <c r="D27" s="391" t="s">
        <v>753</v>
      </c>
      <c r="E27" s="184" t="s">
        <v>739</v>
      </c>
      <c r="F27" s="129">
        <v>2</v>
      </c>
      <c r="G27" s="392">
        <v>1172.01</v>
      </c>
      <c r="H27" s="87">
        <f t="shared" si="2"/>
        <v>1540.96</v>
      </c>
      <c r="I27" s="90">
        <f>ROUND((F27*H27),2)</f>
        <v>3081.92</v>
      </c>
      <c r="J27" s="181"/>
      <c r="K27" s="181"/>
      <c r="L27" s="181"/>
      <c r="M27" s="57"/>
      <c r="N27" s="57"/>
    </row>
    <row r="28" spans="1:14" s="10" customFormat="1" ht="24" customHeight="1">
      <c r="A28" s="345"/>
      <c r="B28" s="387">
        <v>3</v>
      </c>
      <c r="C28" s="383"/>
      <c r="D28" s="384" t="s">
        <v>23</v>
      </c>
      <c r="E28" s="382"/>
      <c r="F28" s="385"/>
      <c r="G28" s="386"/>
      <c r="H28" s="386"/>
      <c r="I28" s="388">
        <f>SUM(I29:I42)</f>
        <v>125726.55999999998</v>
      </c>
      <c r="J28" s="209"/>
      <c r="K28" s="209"/>
      <c r="L28" s="209"/>
      <c r="M28" s="209"/>
      <c r="N28" s="209"/>
    </row>
    <row r="29" spans="1:9" s="10" customFormat="1" ht="28.5" customHeight="1">
      <c r="A29" s="345"/>
      <c r="B29" s="299" t="s">
        <v>65</v>
      </c>
      <c r="C29" s="378" t="s">
        <v>451</v>
      </c>
      <c r="D29" s="379" t="s">
        <v>452</v>
      </c>
      <c r="E29" s="378" t="s">
        <v>434</v>
      </c>
      <c r="F29" s="380">
        <v>1</v>
      </c>
      <c r="G29" s="381">
        <f>J315*0.3%</f>
        <v>3422.1858300000004</v>
      </c>
      <c r="H29" s="87">
        <f t="shared" si="2"/>
        <v>4499.49</v>
      </c>
      <c r="I29" s="90">
        <f>ROUND((F29*H29),2)</f>
        <v>4499.49</v>
      </c>
    </row>
    <row r="30" spans="1:10" ht="18.75" customHeight="1">
      <c r="A30" s="331"/>
      <c r="B30" s="300" t="s">
        <v>82</v>
      </c>
      <c r="C30" s="11" t="s">
        <v>25</v>
      </c>
      <c r="D30" s="13" t="s">
        <v>26</v>
      </c>
      <c r="E30" s="11" t="s">
        <v>27</v>
      </c>
      <c r="F30" s="14">
        <v>10</v>
      </c>
      <c r="G30" s="15">
        <v>312.36</v>
      </c>
      <c r="H30" s="87">
        <f t="shared" si="2"/>
        <v>410.69</v>
      </c>
      <c r="I30" s="90">
        <f aca="true" t="shared" si="3" ref="I30:I42">ROUND((F30*H30),2)</f>
        <v>4106.9</v>
      </c>
      <c r="J30" s="16"/>
    </row>
    <row r="31" spans="1:10" s="21" customFormat="1" ht="26.25" customHeight="1">
      <c r="A31" s="346"/>
      <c r="B31" s="299" t="s">
        <v>493</v>
      </c>
      <c r="C31" s="17" t="s">
        <v>734</v>
      </c>
      <c r="D31" s="19" t="s">
        <v>735</v>
      </c>
      <c r="E31" s="18" t="s">
        <v>27</v>
      </c>
      <c r="F31" s="14">
        <v>312.4</v>
      </c>
      <c r="G31" s="15">
        <v>159.76</v>
      </c>
      <c r="H31" s="87">
        <f t="shared" si="2"/>
        <v>210.05</v>
      </c>
      <c r="I31" s="90">
        <f t="shared" si="3"/>
        <v>65619.62</v>
      </c>
      <c r="J31" s="20"/>
    </row>
    <row r="32" spans="1:10" s="21" customFormat="1" ht="41.25" customHeight="1">
      <c r="A32" s="346"/>
      <c r="B32" s="300" t="s">
        <v>494</v>
      </c>
      <c r="C32" s="22">
        <v>9540</v>
      </c>
      <c r="D32" s="37" t="s">
        <v>30</v>
      </c>
      <c r="E32" s="18" t="s">
        <v>31</v>
      </c>
      <c r="F32" s="14">
        <v>1</v>
      </c>
      <c r="G32" s="15">
        <v>860.36</v>
      </c>
      <c r="H32" s="87">
        <f t="shared" si="2"/>
        <v>1131.2</v>
      </c>
      <c r="I32" s="90">
        <f t="shared" si="3"/>
        <v>1131.2</v>
      </c>
      <c r="J32" s="20"/>
    </row>
    <row r="33" spans="1:10" s="21" customFormat="1" ht="24.75" customHeight="1">
      <c r="A33" s="346"/>
      <c r="B33" s="299" t="s">
        <v>495</v>
      </c>
      <c r="C33" s="23" t="s">
        <v>33</v>
      </c>
      <c r="D33" s="24" t="s">
        <v>34</v>
      </c>
      <c r="E33" s="11" t="s">
        <v>31</v>
      </c>
      <c r="F33" s="14">
        <v>1</v>
      </c>
      <c r="G33" s="15">
        <v>561.21</v>
      </c>
      <c r="H33" s="87">
        <f t="shared" si="2"/>
        <v>737.88</v>
      </c>
      <c r="I33" s="90">
        <f t="shared" si="3"/>
        <v>737.88</v>
      </c>
      <c r="J33" s="20"/>
    </row>
    <row r="34" spans="1:10" s="21" customFormat="1" ht="22.5" customHeight="1">
      <c r="A34" s="346"/>
      <c r="B34" s="300" t="s">
        <v>574</v>
      </c>
      <c r="C34" s="25" t="s">
        <v>37</v>
      </c>
      <c r="D34" s="112" t="s">
        <v>38</v>
      </c>
      <c r="E34" s="26" t="s">
        <v>31</v>
      </c>
      <c r="F34" s="14">
        <v>1</v>
      </c>
      <c r="G34" s="15">
        <v>409.12</v>
      </c>
      <c r="H34" s="87">
        <f t="shared" si="2"/>
        <v>537.91</v>
      </c>
      <c r="I34" s="90">
        <f t="shared" si="3"/>
        <v>537.91</v>
      </c>
      <c r="J34" s="20"/>
    </row>
    <row r="35" spans="1:10" s="21" customFormat="1" ht="27.75" customHeight="1">
      <c r="A35" s="346"/>
      <c r="B35" s="299" t="s">
        <v>575</v>
      </c>
      <c r="C35" s="25" t="s">
        <v>460</v>
      </c>
      <c r="D35" s="112" t="s">
        <v>461</v>
      </c>
      <c r="E35" s="26" t="s">
        <v>31</v>
      </c>
      <c r="F35" s="14">
        <v>1</v>
      </c>
      <c r="G35" s="15">
        <v>6235.23</v>
      </c>
      <c r="H35" s="87">
        <f t="shared" si="2"/>
        <v>8198.08</v>
      </c>
      <c r="I35" s="90">
        <f t="shared" si="3"/>
        <v>8198.08</v>
      </c>
      <c r="J35" s="20"/>
    </row>
    <row r="36" spans="1:10" s="21" customFormat="1" ht="25.5">
      <c r="A36" s="346"/>
      <c r="B36" s="300" t="s">
        <v>576</v>
      </c>
      <c r="C36" s="25" t="s">
        <v>458</v>
      </c>
      <c r="D36" s="112" t="s">
        <v>459</v>
      </c>
      <c r="E36" s="26" t="s">
        <v>31</v>
      </c>
      <c r="F36" s="14">
        <v>1</v>
      </c>
      <c r="G36" s="15">
        <v>8431.89</v>
      </c>
      <c r="H36" s="87">
        <f t="shared" si="2"/>
        <v>11086.25</v>
      </c>
      <c r="I36" s="90">
        <f t="shared" si="3"/>
        <v>11086.25</v>
      </c>
      <c r="J36" s="20"/>
    </row>
    <row r="37" spans="1:10" s="21" customFormat="1" ht="26.25" customHeight="1">
      <c r="A37" s="346"/>
      <c r="B37" s="299" t="s">
        <v>577</v>
      </c>
      <c r="C37" s="22" t="s">
        <v>40</v>
      </c>
      <c r="D37" s="104" t="s">
        <v>41</v>
      </c>
      <c r="E37" s="27" t="s">
        <v>31</v>
      </c>
      <c r="F37" s="14">
        <v>1</v>
      </c>
      <c r="G37" s="15">
        <v>7249.43</v>
      </c>
      <c r="H37" s="87">
        <f t="shared" si="2"/>
        <v>9531.55</v>
      </c>
      <c r="I37" s="90">
        <f t="shared" si="3"/>
        <v>9531.55</v>
      </c>
      <c r="J37" s="20"/>
    </row>
    <row r="38" spans="1:10" s="21" customFormat="1" ht="36.75" customHeight="1">
      <c r="A38" s="346"/>
      <c r="B38" s="300" t="s">
        <v>578</v>
      </c>
      <c r="C38" s="18" t="s">
        <v>42</v>
      </c>
      <c r="D38" s="13" t="s">
        <v>43</v>
      </c>
      <c r="E38" s="27" t="s">
        <v>31</v>
      </c>
      <c r="F38" s="14">
        <v>1</v>
      </c>
      <c r="G38" s="15">
        <v>5120.01</v>
      </c>
      <c r="H38" s="87">
        <f t="shared" si="2"/>
        <v>6731.79</v>
      </c>
      <c r="I38" s="90">
        <f t="shared" si="3"/>
        <v>6731.79</v>
      </c>
      <c r="J38" s="20"/>
    </row>
    <row r="39" spans="1:10" s="21" customFormat="1" ht="21.75" customHeight="1">
      <c r="A39" s="346"/>
      <c r="B39" s="299" t="s">
        <v>579</v>
      </c>
      <c r="C39" s="28" t="s">
        <v>44</v>
      </c>
      <c r="D39" s="24" t="s">
        <v>45</v>
      </c>
      <c r="E39" s="28" t="s">
        <v>27</v>
      </c>
      <c r="F39" s="14">
        <v>785</v>
      </c>
      <c r="G39" s="15">
        <v>6.67</v>
      </c>
      <c r="H39" s="87">
        <f t="shared" si="2"/>
        <v>8.77</v>
      </c>
      <c r="I39" s="90">
        <f t="shared" si="3"/>
        <v>6884.45</v>
      </c>
      <c r="J39" s="20"/>
    </row>
    <row r="40" spans="1:10" s="21" customFormat="1" ht="21.75" customHeight="1">
      <c r="A40" s="346"/>
      <c r="B40" s="299" t="s">
        <v>580</v>
      </c>
      <c r="C40" s="28" t="s">
        <v>756</v>
      </c>
      <c r="D40" s="24" t="s">
        <v>757</v>
      </c>
      <c r="E40" s="27" t="s">
        <v>31</v>
      </c>
      <c r="F40" s="14">
        <v>1</v>
      </c>
      <c r="G40" s="14">
        <v>809</v>
      </c>
      <c r="H40" s="87">
        <f t="shared" si="2"/>
        <v>1063.67</v>
      </c>
      <c r="I40" s="90">
        <f t="shared" si="3"/>
        <v>1063.67</v>
      </c>
      <c r="J40" s="20"/>
    </row>
    <row r="41" spans="1:10" ht="24.75" customHeight="1">
      <c r="A41" s="331"/>
      <c r="B41" s="300" t="s">
        <v>581</v>
      </c>
      <c r="C41" s="12" t="s">
        <v>46</v>
      </c>
      <c r="D41" s="19" t="s">
        <v>47</v>
      </c>
      <c r="E41" s="12" t="s">
        <v>48</v>
      </c>
      <c r="F41" s="14">
        <v>49</v>
      </c>
      <c r="G41" s="29">
        <v>75.62</v>
      </c>
      <c r="H41" s="87">
        <f t="shared" si="2"/>
        <v>99.43</v>
      </c>
      <c r="I41" s="90">
        <f t="shared" si="3"/>
        <v>4872.07</v>
      </c>
      <c r="J41" s="16"/>
    </row>
    <row r="42" spans="1:10" ht="28.5" customHeight="1">
      <c r="A42" s="331"/>
      <c r="B42" s="299" t="s">
        <v>755</v>
      </c>
      <c r="C42" s="17" t="s">
        <v>49</v>
      </c>
      <c r="D42" s="19" t="s">
        <v>50</v>
      </c>
      <c r="E42" s="18" t="s">
        <v>27</v>
      </c>
      <c r="F42" s="14">
        <v>1230</v>
      </c>
      <c r="G42" s="15">
        <v>0.45</v>
      </c>
      <c r="H42" s="87">
        <f t="shared" si="2"/>
        <v>0.59</v>
      </c>
      <c r="I42" s="90">
        <f t="shared" si="3"/>
        <v>725.7</v>
      </c>
      <c r="J42" s="16"/>
    </row>
    <row r="43" spans="1:10" ht="28.5" customHeight="1">
      <c r="A43" s="331"/>
      <c r="B43" s="193">
        <v>4</v>
      </c>
      <c r="C43" s="218"/>
      <c r="D43" s="219" t="s">
        <v>543</v>
      </c>
      <c r="E43" s="219"/>
      <c r="F43" s="220"/>
      <c r="G43" s="198"/>
      <c r="H43" s="198">
        <f>ROUND(G43+(G43*$I$9),2)</f>
        <v>0</v>
      </c>
      <c r="I43" s="200">
        <f>SUM(I44:I46)</f>
        <v>6165.9</v>
      </c>
      <c r="J43" s="16"/>
    </row>
    <row r="44" spans="1:10" ht="28.5" customHeight="1">
      <c r="A44" s="331"/>
      <c r="B44" s="135" t="s">
        <v>86</v>
      </c>
      <c r="C44" s="184" t="s">
        <v>544</v>
      </c>
      <c r="D44" s="185" t="s">
        <v>545</v>
      </c>
      <c r="E44" s="186" t="s">
        <v>546</v>
      </c>
      <c r="F44" s="211">
        <v>390</v>
      </c>
      <c r="G44" s="187">
        <v>3.18</v>
      </c>
      <c r="H44" s="87">
        <f t="shared" si="2"/>
        <v>4.18</v>
      </c>
      <c r="I44" s="90">
        <f>ROUND((F44*H44),2)</f>
        <v>1630.2</v>
      </c>
      <c r="J44" s="16"/>
    </row>
    <row r="45" spans="1:10" ht="28.5" customHeight="1">
      <c r="A45" s="331"/>
      <c r="B45" s="135" t="s">
        <v>89</v>
      </c>
      <c r="C45" s="184" t="s">
        <v>547</v>
      </c>
      <c r="D45" s="188" t="s">
        <v>548</v>
      </c>
      <c r="E45" s="189" t="s">
        <v>546</v>
      </c>
      <c r="F45" s="211">
        <v>390</v>
      </c>
      <c r="G45" s="89">
        <v>1.5</v>
      </c>
      <c r="H45" s="87">
        <f t="shared" si="2"/>
        <v>1.97</v>
      </c>
      <c r="I45" s="90">
        <f>ROUND((F45*H45),2)</f>
        <v>768.3</v>
      </c>
      <c r="J45" s="16"/>
    </row>
    <row r="46" spans="1:10" ht="28.5" customHeight="1">
      <c r="A46" s="331"/>
      <c r="B46" s="135" t="s">
        <v>91</v>
      </c>
      <c r="C46" s="184" t="s">
        <v>549</v>
      </c>
      <c r="D46" s="188" t="s">
        <v>736</v>
      </c>
      <c r="E46" s="189" t="s">
        <v>550</v>
      </c>
      <c r="F46" s="183">
        <f>F45*7</f>
        <v>2730</v>
      </c>
      <c r="G46" s="89">
        <v>1.05</v>
      </c>
      <c r="H46" s="87">
        <f t="shared" si="2"/>
        <v>1.38</v>
      </c>
      <c r="I46" s="90">
        <f>ROUND((F46*H46),2)</f>
        <v>3767.4</v>
      </c>
      <c r="J46" s="16"/>
    </row>
    <row r="47" spans="1:10" ht="28.5" customHeight="1">
      <c r="A47" s="331"/>
      <c r="B47" s="193">
        <v>5</v>
      </c>
      <c r="C47" s="221"/>
      <c r="D47" s="222" t="s">
        <v>551</v>
      </c>
      <c r="E47" s="221"/>
      <c r="F47" s="223"/>
      <c r="G47" s="223"/>
      <c r="H47" s="198"/>
      <c r="I47" s="200">
        <f>SUM(I48:I61)</f>
        <v>165935.92</v>
      </c>
      <c r="J47" s="16"/>
    </row>
    <row r="48" spans="1:14" ht="17.25" customHeight="1">
      <c r="A48" s="331"/>
      <c r="B48" s="256" t="s">
        <v>97</v>
      </c>
      <c r="C48" s="238"/>
      <c r="D48" s="239" t="s">
        <v>552</v>
      </c>
      <c r="E48" s="240"/>
      <c r="F48" s="235"/>
      <c r="G48" s="235"/>
      <c r="H48" s="241"/>
      <c r="I48" s="242"/>
      <c r="J48" s="16"/>
      <c r="L48" s="396"/>
      <c r="N48" s="394"/>
    </row>
    <row r="49" spans="1:12" ht="28.5" customHeight="1">
      <c r="A49" s="331"/>
      <c r="B49" s="135" t="s">
        <v>99</v>
      </c>
      <c r="C49" s="94" t="s">
        <v>553</v>
      </c>
      <c r="D49" s="95" t="s">
        <v>554</v>
      </c>
      <c r="E49" s="210" t="s">
        <v>48</v>
      </c>
      <c r="F49" s="211">
        <f>133+91+91</f>
        <v>315</v>
      </c>
      <c r="G49" s="211">
        <v>47.5</v>
      </c>
      <c r="H49" s="397">
        <f aca="true" t="shared" si="4" ref="H49:H67">ROUND(G49+(G49*$I$9),2)</f>
        <v>62.45</v>
      </c>
      <c r="I49" s="90">
        <f>ROUND((F49*H49),2)</f>
        <v>19671.75</v>
      </c>
      <c r="J49" s="16"/>
      <c r="K49" s="16"/>
      <c r="L49" s="395"/>
    </row>
    <row r="50" spans="1:12" ht="38.25">
      <c r="A50" s="331"/>
      <c r="B50" s="135" t="s">
        <v>496</v>
      </c>
      <c r="C50" s="91" t="s">
        <v>555</v>
      </c>
      <c r="D50" s="95" t="s">
        <v>556</v>
      </c>
      <c r="E50" s="210" t="s">
        <v>54</v>
      </c>
      <c r="F50" s="211">
        <f>26.22+18+18</f>
        <v>62.22</v>
      </c>
      <c r="G50" s="211">
        <v>325.09</v>
      </c>
      <c r="H50" s="397">
        <f t="shared" si="4"/>
        <v>427.43</v>
      </c>
      <c r="I50" s="90">
        <f>ROUND((F50*H50),2)</f>
        <v>26594.69</v>
      </c>
      <c r="J50" s="16"/>
      <c r="K50" s="16"/>
      <c r="L50" s="396"/>
    </row>
    <row r="51" spans="1:12" ht="28.5" customHeight="1">
      <c r="A51" s="331"/>
      <c r="B51" s="135" t="s">
        <v>497</v>
      </c>
      <c r="C51" s="212" t="s">
        <v>557</v>
      </c>
      <c r="D51" s="213" t="s">
        <v>558</v>
      </c>
      <c r="E51" s="189" t="s">
        <v>77</v>
      </c>
      <c r="F51" s="265">
        <f>F50*120</f>
        <v>7466.4</v>
      </c>
      <c r="G51" s="87">
        <v>6.51</v>
      </c>
      <c r="H51" s="397">
        <f t="shared" si="4"/>
        <v>8.56</v>
      </c>
      <c r="I51" s="90">
        <f>ROUND((F51*H51),2)</f>
        <v>63912.38</v>
      </c>
      <c r="J51" s="16"/>
      <c r="K51" s="16"/>
      <c r="L51" s="396"/>
    </row>
    <row r="52" spans="1:12" ht="18.75" customHeight="1">
      <c r="A52" s="331"/>
      <c r="B52" s="256" t="s">
        <v>100</v>
      </c>
      <c r="C52" s="233"/>
      <c r="D52" s="234" t="s">
        <v>559</v>
      </c>
      <c r="E52" s="233"/>
      <c r="F52" s="235"/>
      <c r="G52" s="235"/>
      <c r="H52" s="236"/>
      <c r="I52" s="237"/>
      <c r="J52" s="16"/>
      <c r="K52" s="16"/>
      <c r="L52" s="396"/>
    </row>
    <row r="53" spans="1:12" ht="28.5" customHeight="1">
      <c r="A53" s="331"/>
      <c r="B53" s="162" t="s">
        <v>102</v>
      </c>
      <c r="C53" s="94" t="s">
        <v>560</v>
      </c>
      <c r="D53" s="95" t="s">
        <v>561</v>
      </c>
      <c r="E53" s="210" t="s">
        <v>54</v>
      </c>
      <c r="F53" s="211">
        <f>1.52+1.04+1.04</f>
        <v>3.6</v>
      </c>
      <c r="G53" s="214">
        <v>40.77</v>
      </c>
      <c r="H53" s="397">
        <f t="shared" si="4"/>
        <v>53.6</v>
      </c>
      <c r="I53" s="90">
        <f>ROUND((F53*H53),2)</f>
        <v>192.96</v>
      </c>
      <c r="J53" s="16"/>
      <c r="K53" s="16"/>
      <c r="L53" s="396"/>
    </row>
    <row r="54" spans="1:12" ht="28.5" customHeight="1">
      <c r="A54" s="331"/>
      <c r="B54" s="162" t="s">
        <v>103</v>
      </c>
      <c r="C54" s="215" t="s">
        <v>547</v>
      </c>
      <c r="D54" s="188" t="s">
        <v>548</v>
      </c>
      <c r="E54" s="216" t="s">
        <v>54</v>
      </c>
      <c r="F54" s="266">
        <f>F53*1.3</f>
        <v>4.680000000000001</v>
      </c>
      <c r="G54" s="87">
        <v>1.72</v>
      </c>
      <c r="H54" s="87">
        <f t="shared" si="4"/>
        <v>2.26</v>
      </c>
      <c r="I54" s="90">
        <f>ROUND((F54*H54),2)</f>
        <v>10.58</v>
      </c>
      <c r="J54" s="16"/>
      <c r="K54" s="16"/>
      <c r="L54" s="396"/>
    </row>
    <row r="55" spans="1:12" ht="28.5" customHeight="1">
      <c r="A55" s="331"/>
      <c r="B55" s="162" t="s">
        <v>498</v>
      </c>
      <c r="C55" s="215" t="s">
        <v>549</v>
      </c>
      <c r="D55" s="188" t="s">
        <v>736</v>
      </c>
      <c r="E55" s="189" t="s">
        <v>564</v>
      </c>
      <c r="F55" s="265">
        <f>F54*7</f>
        <v>32.760000000000005</v>
      </c>
      <c r="G55" s="87">
        <v>1.1</v>
      </c>
      <c r="H55" s="87">
        <f t="shared" si="4"/>
        <v>1.45</v>
      </c>
      <c r="I55" s="90">
        <f>ROUND((F55*H55),2)</f>
        <v>47.5</v>
      </c>
      <c r="J55" s="16"/>
      <c r="K55" s="16"/>
      <c r="L55" s="396"/>
    </row>
    <row r="56" spans="1:12" ht="38.25">
      <c r="A56" s="331"/>
      <c r="B56" s="162" t="s">
        <v>499</v>
      </c>
      <c r="C56" s="94" t="s">
        <v>566</v>
      </c>
      <c r="D56" s="95" t="s">
        <v>567</v>
      </c>
      <c r="E56" s="210" t="s">
        <v>54</v>
      </c>
      <c r="F56" s="211">
        <f>1.52+1.04+1.04</f>
        <v>3.6</v>
      </c>
      <c r="G56" s="214">
        <v>362.12</v>
      </c>
      <c r="H56" s="397">
        <f t="shared" si="4"/>
        <v>476.12</v>
      </c>
      <c r="I56" s="90">
        <f>ROUND((F56*H56),2)</f>
        <v>1714.03</v>
      </c>
      <c r="J56" s="16"/>
      <c r="K56" s="16"/>
      <c r="L56" s="396"/>
    </row>
    <row r="57" spans="1:12" ht="28.5" customHeight="1">
      <c r="A57" s="331"/>
      <c r="B57" s="162" t="s">
        <v>500</v>
      </c>
      <c r="C57" s="212" t="s">
        <v>557</v>
      </c>
      <c r="D57" s="213" t="s">
        <v>558</v>
      </c>
      <c r="E57" s="189" t="s">
        <v>77</v>
      </c>
      <c r="F57" s="265">
        <f>F56*120</f>
        <v>432</v>
      </c>
      <c r="G57" s="87">
        <v>6.51</v>
      </c>
      <c r="H57" s="397">
        <f t="shared" si="4"/>
        <v>8.56</v>
      </c>
      <c r="I57" s="90">
        <f>ROUND((F57*H57),2)</f>
        <v>3697.92</v>
      </c>
      <c r="J57" s="16"/>
      <c r="K57" s="16"/>
      <c r="L57" s="396"/>
    </row>
    <row r="58" spans="1:12" ht="17.25" customHeight="1">
      <c r="A58" s="331"/>
      <c r="B58" s="257" t="s">
        <v>104</v>
      </c>
      <c r="C58" s="228"/>
      <c r="D58" s="229" t="s">
        <v>569</v>
      </c>
      <c r="E58" s="230"/>
      <c r="F58" s="235"/>
      <c r="G58" s="231"/>
      <c r="H58" s="231"/>
      <c r="I58" s="232"/>
      <c r="J58" s="16"/>
      <c r="K58" s="16"/>
      <c r="L58" s="396"/>
    </row>
    <row r="59" spans="1:12" ht="28.5" customHeight="1">
      <c r="A59" s="331"/>
      <c r="B59" s="135" t="s">
        <v>106</v>
      </c>
      <c r="C59" s="217" t="s">
        <v>570</v>
      </c>
      <c r="D59" s="213" t="s">
        <v>571</v>
      </c>
      <c r="E59" s="122" t="s">
        <v>27</v>
      </c>
      <c r="F59" s="183">
        <f>76+12.9+12.9</f>
        <v>101.80000000000001</v>
      </c>
      <c r="G59" s="89">
        <v>47.53</v>
      </c>
      <c r="H59" s="397">
        <f t="shared" si="4"/>
        <v>62.49</v>
      </c>
      <c r="I59" s="90">
        <f>ROUND((F59*H59),2)</f>
        <v>6361.48</v>
      </c>
      <c r="J59" s="16"/>
      <c r="K59" s="16"/>
      <c r="L59" s="396"/>
    </row>
    <row r="60" spans="1:12" ht="38.25">
      <c r="A60" s="331"/>
      <c r="B60" s="135" t="s">
        <v>501</v>
      </c>
      <c r="C60" s="94" t="s">
        <v>572</v>
      </c>
      <c r="D60" s="95" t="s">
        <v>573</v>
      </c>
      <c r="E60" s="210" t="s">
        <v>54</v>
      </c>
      <c r="F60" s="211">
        <f>(1.52+0.52+0.52)+(15.2+5.15+5.15)</f>
        <v>28.06</v>
      </c>
      <c r="G60" s="211">
        <v>404.12</v>
      </c>
      <c r="H60" s="397">
        <f t="shared" si="4"/>
        <v>531.34</v>
      </c>
      <c r="I60" s="90">
        <f>ROUND((F60*H60),2)</f>
        <v>14909.4</v>
      </c>
      <c r="J60" s="16"/>
      <c r="K60" s="16"/>
      <c r="L60" s="396"/>
    </row>
    <row r="61" spans="1:12" ht="28.5" customHeight="1">
      <c r="A61" s="331"/>
      <c r="B61" s="135" t="s">
        <v>502</v>
      </c>
      <c r="C61" s="212" t="s">
        <v>557</v>
      </c>
      <c r="D61" s="213" t="s">
        <v>558</v>
      </c>
      <c r="E61" s="189" t="s">
        <v>77</v>
      </c>
      <c r="F61" s="265">
        <f>F60*120</f>
        <v>3367.2</v>
      </c>
      <c r="G61" s="87">
        <v>6.51</v>
      </c>
      <c r="H61" s="397">
        <f t="shared" si="4"/>
        <v>8.56</v>
      </c>
      <c r="I61" s="90">
        <f>ROUND((F61*H61),2)</f>
        <v>28823.23</v>
      </c>
      <c r="J61" s="16"/>
      <c r="K61" s="16"/>
      <c r="L61" s="396"/>
    </row>
    <row r="62" spans="1:10" ht="25.5" customHeight="1">
      <c r="A62" s="331"/>
      <c r="B62" s="301">
        <v>6</v>
      </c>
      <c r="C62" s="125"/>
      <c r="D62" s="126" t="s">
        <v>51</v>
      </c>
      <c r="E62" s="124"/>
      <c r="F62" s="190"/>
      <c r="G62" s="191"/>
      <c r="H62" s="192"/>
      <c r="I62" s="298">
        <f>SUM(I63:I67)</f>
        <v>14442.150000000001</v>
      </c>
      <c r="J62" s="16"/>
    </row>
    <row r="63" spans="1:10" ht="25.5" customHeight="1">
      <c r="A63" s="331"/>
      <c r="B63" s="302" t="s">
        <v>108</v>
      </c>
      <c r="C63" s="34">
        <v>94319</v>
      </c>
      <c r="D63" s="35" t="s">
        <v>53</v>
      </c>
      <c r="E63" s="34" t="s">
        <v>54</v>
      </c>
      <c r="F63" s="14">
        <v>154.94</v>
      </c>
      <c r="G63" s="15">
        <v>29.37</v>
      </c>
      <c r="H63" s="87">
        <f t="shared" si="4"/>
        <v>38.62</v>
      </c>
      <c r="I63" s="90">
        <f>ROUND((F63*H63),2)</f>
        <v>5983.78</v>
      </c>
      <c r="J63" s="16"/>
    </row>
    <row r="64" spans="1:10" ht="25.5">
      <c r="A64" s="331"/>
      <c r="B64" s="302" t="s">
        <v>110</v>
      </c>
      <c r="C64" s="34" t="s">
        <v>56</v>
      </c>
      <c r="D64" s="35" t="s">
        <v>453</v>
      </c>
      <c r="E64" s="34" t="s">
        <v>54</v>
      </c>
      <c r="F64" s="14">
        <v>81.67</v>
      </c>
      <c r="G64" s="29">
        <v>53.96</v>
      </c>
      <c r="H64" s="87">
        <f t="shared" si="4"/>
        <v>70.95</v>
      </c>
      <c r="I64" s="90">
        <f>ROUND((F64*H64),2)</f>
        <v>5794.49</v>
      </c>
      <c r="J64" s="16"/>
    </row>
    <row r="65" spans="1:10" ht="25.5">
      <c r="A65" s="331"/>
      <c r="B65" s="302" t="s">
        <v>115</v>
      </c>
      <c r="C65" s="34" t="s">
        <v>58</v>
      </c>
      <c r="D65" s="35" t="s">
        <v>59</v>
      </c>
      <c r="E65" s="34" t="s">
        <v>27</v>
      </c>
      <c r="F65" s="14">
        <v>106.71</v>
      </c>
      <c r="G65" s="29">
        <v>5.8</v>
      </c>
      <c r="H65" s="87">
        <f t="shared" si="4"/>
        <v>7.63</v>
      </c>
      <c r="I65" s="90">
        <f>ROUND((F65*H65),2)</f>
        <v>814.2</v>
      </c>
      <c r="J65" s="16"/>
    </row>
    <row r="66" spans="1:10" ht="25.5">
      <c r="A66" s="331"/>
      <c r="B66" s="302" t="s">
        <v>117</v>
      </c>
      <c r="C66" s="34" t="s">
        <v>60</v>
      </c>
      <c r="D66" s="35" t="s">
        <v>61</v>
      </c>
      <c r="E66" s="34" t="s">
        <v>54</v>
      </c>
      <c r="F66" s="14">
        <v>36.89</v>
      </c>
      <c r="G66" s="29">
        <v>16.8</v>
      </c>
      <c r="H66" s="87">
        <f t="shared" si="4"/>
        <v>22.09</v>
      </c>
      <c r="I66" s="90">
        <f>ROUND((F66*H66),2)</f>
        <v>814.9</v>
      </c>
      <c r="J66" s="16"/>
    </row>
    <row r="67" spans="1:10" ht="26.25" customHeight="1">
      <c r="A67" s="331"/>
      <c r="B67" s="302" t="s">
        <v>582</v>
      </c>
      <c r="C67" s="12" t="s">
        <v>62</v>
      </c>
      <c r="D67" s="35" t="s">
        <v>63</v>
      </c>
      <c r="E67" s="12" t="s">
        <v>54</v>
      </c>
      <c r="F67" s="14">
        <v>22.5</v>
      </c>
      <c r="G67" s="29">
        <v>34.98</v>
      </c>
      <c r="H67" s="87">
        <f t="shared" si="4"/>
        <v>45.99</v>
      </c>
      <c r="I67" s="90">
        <f>ROUND((F67*H67),2)</f>
        <v>1034.78</v>
      </c>
      <c r="J67" s="16"/>
    </row>
    <row r="68" spans="1:10" ht="23.25" customHeight="1">
      <c r="A68" s="347"/>
      <c r="B68" s="303">
        <v>7</v>
      </c>
      <c r="C68" s="9"/>
      <c r="D68" s="111" t="s">
        <v>64</v>
      </c>
      <c r="E68" s="8"/>
      <c r="F68" s="30"/>
      <c r="G68" s="31"/>
      <c r="H68" s="32"/>
      <c r="I68" s="304">
        <f>SUM(I69:I82)</f>
        <v>67844.53</v>
      </c>
      <c r="J68" s="16"/>
    </row>
    <row r="69" spans="1:10" ht="15.75" customHeight="1">
      <c r="A69" s="331"/>
      <c r="B69" s="305" t="s">
        <v>122</v>
      </c>
      <c r="C69" s="224"/>
      <c r="D69" s="173" t="s">
        <v>66</v>
      </c>
      <c r="E69" s="176"/>
      <c r="F69" s="175"/>
      <c r="G69" s="226"/>
      <c r="H69" s="227">
        <f>ROUND(G69+(G69*$I$9),2)</f>
        <v>0</v>
      </c>
      <c r="I69" s="306"/>
      <c r="J69" s="16"/>
    </row>
    <row r="70" spans="1:10" ht="25.5">
      <c r="A70" s="331"/>
      <c r="B70" s="307" t="s">
        <v>503</v>
      </c>
      <c r="C70" s="34" t="s">
        <v>67</v>
      </c>
      <c r="D70" s="35" t="s">
        <v>68</v>
      </c>
      <c r="E70" s="27" t="s">
        <v>48</v>
      </c>
      <c r="F70" s="14">
        <v>91</v>
      </c>
      <c r="G70" s="29">
        <v>43.87</v>
      </c>
      <c r="H70" s="87">
        <f>ROUND(G70+(G70*$I$9),2)</f>
        <v>57.68</v>
      </c>
      <c r="I70" s="90">
        <f>ROUND((F70*H70),2)</f>
        <v>5248.88</v>
      </c>
      <c r="J70" s="16"/>
    </row>
    <row r="71" spans="1:10" ht="24.75" customHeight="1">
      <c r="A71" s="331"/>
      <c r="B71" s="307" t="s">
        <v>504</v>
      </c>
      <c r="C71" s="34" t="s">
        <v>69</v>
      </c>
      <c r="D71" s="35" t="s">
        <v>70</v>
      </c>
      <c r="E71" s="27" t="s">
        <v>48</v>
      </c>
      <c r="F71" s="14">
        <v>112</v>
      </c>
      <c r="G71" s="29">
        <v>49</v>
      </c>
      <c r="H71" s="87">
        <f aca="true" t="shared" si="5" ref="H71:H76">ROUND(G71+(G71*$I$9),2)</f>
        <v>64.43</v>
      </c>
      <c r="I71" s="90">
        <f aca="true" t="shared" si="6" ref="I71:I76">ROUND((F71*H71),2)</f>
        <v>7216.16</v>
      </c>
      <c r="J71" s="16"/>
    </row>
    <row r="72" spans="1:10" ht="16.5" customHeight="1">
      <c r="A72" s="331"/>
      <c r="B72" s="307" t="s">
        <v>505</v>
      </c>
      <c r="C72" s="27" t="s">
        <v>71</v>
      </c>
      <c r="D72" s="37" t="s">
        <v>72</v>
      </c>
      <c r="E72" s="27" t="s">
        <v>54</v>
      </c>
      <c r="F72" s="14">
        <v>3.36</v>
      </c>
      <c r="G72" s="29">
        <v>371.58</v>
      </c>
      <c r="H72" s="87">
        <f t="shared" si="5"/>
        <v>488.55</v>
      </c>
      <c r="I72" s="90">
        <f t="shared" si="6"/>
        <v>1641.53</v>
      </c>
      <c r="J72" s="16"/>
    </row>
    <row r="73" spans="1:10" ht="19.5" customHeight="1">
      <c r="A73" s="331"/>
      <c r="B73" s="307" t="s">
        <v>506</v>
      </c>
      <c r="C73" s="27" t="s">
        <v>73</v>
      </c>
      <c r="D73" s="37" t="s">
        <v>74</v>
      </c>
      <c r="E73" s="12" t="s">
        <v>27</v>
      </c>
      <c r="F73" s="14">
        <v>120.03</v>
      </c>
      <c r="G73" s="29">
        <v>57.17</v>
      </c>
      <c r="H73" s="87">
        <f t="shared" si="5"/>
        <v>75.17</v>
      </c>
      <c r="I73" s="90">
        <f t="shared" si="6"/>
        <v>9022.66</v>
      </c>
      <c r="J73" s="16"/>
    </row>
    <row r="74" spans="1:10" ht="18.75" customHeight="1">
      <c r="A74" s="331"/>
      <c r="B74" s="307" t="s">
        <v>583</v>
      </c>
      <c r="C74" s="12" t="s">
        <v>75</v>
      </c>
      <c r="D74" s="37" t="s">
        <v>76</v>
      </c>
      <c r="E74" s="12" t="s">
        <v>77</v>
      </c>
      <c r="F74" s="14">
        <v>546.45</v>
      </c>
      <c r="G74" s="29">
        <v>7.51</v>
      </c>
      <c r="H74" s="87">
        <f t="shared" si="5"/>
        <v>9.87</v>
      </c>
      <c r="I74" s="90">
        <f t="shared" si="6"/>
        <v>5393.46</v>
      </c>
      <c r="J74" s="16"/>
    </row>
    <row r="75" spans="1:10" ht="21" customHeight="1">
      <c r="A75" s="331"/>
      <c r="B75" s="307" t="s">
        <v>584</v>
      </c>
      <c r="C75" s="114" t="s">
        <v>413</v>
      </c>
      <c r="D75" s="101" t="s">
        <v>78</v>
      </c>
      <c r="E75" s="38" t="s">
        <v>77</v>
      </c>
      <c r="F75" s="40">
        <v>248.55</v>
      </c>
      <c r="G75" s="102" t="s">
        <v>79</v>
      </c>
      <c r="H75" s="87">
        <f t="shared" si="5"/>
        <v>9.82</v>
      </c>
      <c r="I75" s="90">
        <f t="shared" si="6"/>
        <v>2440.76</v>
      </c>
      <c r="J75" s="16"/>
    </row>
    <row r="76" spans="1:10" ht="25.5">
      <c r="A76" s="331"/>
      <c r="B76" s="307" t="s">
        <v>585</v>
      </c>
      <c r="C76" s="27" t="s">
        <v>80</v>
      </c>
      <c r="D76" s="37" t="s">
        <v>81</v>
      </c>
      <c r="E76" s="12" t="s">
        <v>54</v>
      </c>
      <c r="F76" s="14">
        <v>33.51</v>
      </c>
      <c r="G76" s="29">
        <v>348</v>
      </c>
      <c r="H76" s="87">
        <f t="shared" si="5"/>
        <v>457.55</v>
      </c>
      <c r="I76" s="90">
        <f t="shared" si="6"/>
        <v>15332.5</v>
      </c>
      <c r="J76" s="16"/>
    </row>
    <row r="77" spans="1:10" ht="19.5" customHeight="1">
      <c r="A77" s="331"/>
      <c r="B77" s="305" t="s">
        <v>123</v>
      </c>
      <c r="C77" s="171"/>
      <c r="D77" s="168" t="s">
        <v>83</v>
      </c>
      <c r="E77" s="176"/>
      <c r="F77" s="175"/>
      <c r="G77" s="243"/>
      <c r="H77" s="244">
        <f>ROUND(G77+(G77*$I$9),2)</f>
        <v>0</v>
      </c>
      <c r="I77" s="308"/>
      <c r="J77" s="16"/>
    </row>
    <row r="78" spans="1:10" ht="21" customHeight="1">
      <c r="A78" s="331"/>
      <c r="B78" s="307" t="s">
        <v>507</v>
      </c>
      <c r="C78" s="27" t="s">
        <v>71</v>
      </c>
      <c r="D78" s="37" t="s">
        <v>84</v>
      </c>
      <c r="E78" s="27" t="s">
        <v>54</v>
      </c>
      <c r="F78" s="14">
        <v>2.58</v>
      </c>
      <c r="G78" s="29">
        <v>371.58</v>
      </c>
      <c r="H78" s="87">
        <f>ROUND(G78+(G78*$I$9),2)</f>
        <v>488.55</v>
      </c>
      <c r="I78" s="90">
        <f>ROUND((F78*H78),2)</f>
        <v>1260.46</v>
      </c>
      <c r="J78" s="16"/>
    </row>
    <row r="79" spans="1:10" ht="21.75" customHeight="1">
      <c r="A79" s="331"/>
      <c r="B79" s="307" t="s">
        <v>562</v>
      </c>
      <c r="C79" s="27" t="s">
        <v>73</v>
      </c>
      <c r="D79" s="37" t="s">
        <v>74</v>
      </c>
      <c r="E79" s="12" t="s">
        <v>27</v>
      </c>
      <c r="F79" s="14">
        <v>139.57</v>
      </c>
      <c r="G79" s="29">
        <v>57.17</v>
      </c>
      <c r="H79" s="87">
        <f>ROUND(G79+(G79*$I$9),2)</f>
        <v>75.17</v>
      </c>
      <c r="I79" s="90">
        <f>ROUND((F79*H79),2)</f>
        <v>10491.48</v>
      </c>
      <c r="J79" s="16"/>
    </row>
    <row r="80" spans="1:10" ht="21" customHeight="1">
      <c r="A80" s="331"/>
      <c r="B80" s="307" t="s">
        <v>563</v>
      </c>
      <c r="C80" s="12" t="s">
        <v>75</v>
      </c>
      <c r="D80" s="37" t="s">
        <v>76</v>
      </c>
      <c r="E80" s="12" t="s">
        <v>77</v>
      </c>
      <c r="F80" s="14">
        <v>389.64</v>
      </c>
      <c r="G80" s="29">
        <v>7.51</v>
      </c>
      <c r="H80" s="87">
        <f>ROUND(G80+(G80*$I$9),2)</f>
        <v>9.87</v>
      </c>
      <c r="I80" s="90">
        <f>ROUND((F80*H80),2)</f>
        <v>3845.75</v>
      </c>
      <c r="J80" s="16"/>
    </row>
    <row r="81" spans="1:10" ht="21" customHeight="1">
      <c r="A81" s="331"/>
      <c r="B81" s="307" t="s">
        <v>565</v>
      </c>
      <c r="C81" s="114" t="s">
        <v>413</v>
      </c>
      <c r="D81" s="101" t="s">
        <v>78</v>
      </c>
      <c r="E81" s="12" t="s">
        <v>77</v>
      </c>
      <c r="F81" s="14">
        <v>137.73</v>
      </c>
      <c r="G81" s="102" t="s">
        <v>79</v>
      </c>
      <c r="H81" s="87">
        <f>ROUND(G81+(G81*$I$9),2)</f>
        <v>9.82</v>
      </c>
      <c r="I81" s="90">
        <f>ROUND((F81*H81),2)</f>
        <v>1352.51</v>
      </c>
      <c r="J81" s="16"/>
    </row>
    <row r="82" spans="1:10" ht="31.5" customHeight="1">
      <c r="A82" s="331"/>
      <c r="B82" s="307" t="s">
        <v>568</v>
      </c>
      <c r="C82" s="27" t="s">
        <v>80</v>
      </c>
      <c r="D82" s="37" t="s">
        <v>81</v>
      </c>
      <c r="E82" s="12" t="s">
        <v>54</v>
      </c>
      <c r="F82" s="14">
        <v>10.05</v>
      </c>
      <c r="G82" s="29">
        <v>348</v>
      </c>
      <c r="H82" s="87">
        <f>ROUND(G82+(G82*$I$9),2)</f>
        <v>457.55</v>
      </c>
      <c r="I82" s="90">
        <f>ROUND((F82*H82),2)</f>
        <v>4598.38</v>
      </c>
      <c r="J82" s="16"/>
    </row>
    <row r="83" spans="1:10" ht="25.5" customHeight="1">
      <c r="A83" s="331"/>
      <c r="B83" s="303">
        <v>8</v>
      </c>
      <c r="C83" s="9"/>
      <c r="D83" s="111" t="s">
        <v>85</v>
      </c>
      <c r="E83" s="8"/>
      <c r="F83" s="30"/>
      <c r="G83" s="32"/>
      <c r="H83" s="32"/>
      <c r="I83" s="304">
        <f>SUM(I84:I106)</f>
        <v>114686.08</v>
      </c>
      <c r="J83" s="16"/>
    </row>
    <row r="84" spans="1:10" ht="15" customHeight="1">
      <c r="A84" s="331"/>
      <c r="B84" s="305" t="s">
        <v>127</v>
      </c>
      <c r="C84" s="224"/>
      <c r="D84" s="173" t="s">
        <v>87</v>
      </c>
      <c r="E84" s="176"/>
      <c r="F84" s="175"/>
      <c r="G84" s="225"/>
      <c r="H84" s="170">
        <f aca="true" t="shared" si="7" ref="H84:H90">ROUND(G84+(G84*$I$9),2)</f>
        <v>0</v>
      </c>
      <c r="I84" s="309">
        <f aca="true" t="shared" si="8" ref="I84:I90">ROUND((F84*H84),2)</f>
        <v>0</v>
      </c>
      <c r="J84" s="16"/>
    </row>
    <row r="85" spans="1:10" ht="38.25">
      <c r="A85" s="331"/>
      <c r="B85" s="302" t="s">
        <v>586</v>
      </c>
      <c r="C85" s="91">
        <v>92448</v>
      </c>
      <c r="D85" s="95" t="s">
        <v>414</v>
      </c>
      <c r="E85" s="91" t="s">
        <v>27</v>
      </c>
      <c r="F85" s="115">
        <v>126.72</v>
      </c>
      <c r="G85" s="116">
        <v>80.83</v>
      </c>
      <c r="H85" s="87">
        <f t="shared" si="7"/>
        <v>106.28</v>
      </c>
      <c r="I85" s="90">
        <f t="shared" si="8"/>
        <v>13467.8</v>
      </c>
      <c r="J85" s="16"/>
    </row>
    <row r="86" spans="1:10" ht="12.75">
      <c r="A86" s="331"/>
      <c r="B86" s="302" t="s">
        <v>587</v>
      </c>
      <c r="C86" s="12" t="s">
        <v>75</v>
      </c>
      <c r="D86" s="37" t="s">
        <v>76</v>
      </c>
      <c r="E86" s="12" t="s">
        <v>77</v>
      </c>
      <c r="F86" s="14">
        <v>428.55</v>
      </c>
      <c r="G86" s="29">
        <v>7.51</v>
      </c>
      <c r="H86" s="87">
        <f>ROUND(G86+(G86*$I$9),2)</f>
        <v>9.87</v>
      </c>
      <c r="I86" s="90">
        <f>ROUND((F86*H86),2)</f>
        <v>4229.79</v>
      </c>
      <c r="J86" s="16"/>
    </row>
    <row r="87" spans="1:10" ht="12.75">
      <c r="A87" s="331"/>
      <c r="B87" s="302" t="s">
        <v>588</v>
      </c>
      <c r="C87" s="117" t="s">
        <v>413</v>
      </c>
      <c r="D87" s="118" t="s">
        <v>78</v>
      </c>
      <c r="E87" s="12" t="s">
        <v>77</v>
      </c>
      <c r="F87" s="14">
        <v>127.36</v>
      </c>
      <c r="G87" s="29" t="s">
        <v>79</v>
      </c>
      <c r="H87" s="87">
        <f>ROUND(G87+(G87*$I$9),2)</f>
        <v>9.82</v>
      </c>
      <c r="I87" s="90">
        <f>ROUND((F87*H87),2)</f>
        <v>1250.68</v>
      </c>
      <c r="J87" s="16"/>
    </row>
    <row r="88" spans="1:10" ht="25.5">
      <c r="A88" s="331"/>
      <c r="B88" s="302" t="s">
        <v>589</v>
      </c>
      <c r="C88" s="27" t="s">
        <v>80</v>
      </c>
      <c r="D88" s="37" t="s">
        <v>81</v>
      </c>
      <c r="E88" s="12" t="s">
        <v>54</v>
      </c>
      <c r="F88" s="14">
        <v>8.52</v>
      </c>
      <c r="G88" s="29">
        <v>348</v>
      </c>
      <c r="H88" s="87">
        <f>ROUND(G88+(G88*$I$9),2)</f>
        <v>457.55</v>
      </c>
      <c r="I88" s="90">
        <f>ROUND((F88*H88),2)</f>
        <v>3898.33</v>
      </c>
      <c r="J88" s="16"/>
    </row>
    <row r="89" spans="1:10" ht="17.25" customHeight="1">
      <c r="A89" s="331"/>
      <c r="B89" s="305" t="s">
        <v>128</v>
      </c>
      <c r="C89" s="171"/>
      <c r="D89" s="173" t="s">
        <v>88</v>
      </c>
      <c r="E89" s="176"/>
      <c r="F89" s="175"/>
      <c r="G89" s="170"/>
      <c r="H89" s="170">
        <f t="shared" si="7"/>
        <v>0</v>
      </c>
      <c r="I89" s="309">
        <f t="shared" si="8"/>
        <v>0</v>
      </c>
      <c r="J89" s="16"/>
    </row>
    <row r="90" spans="1:10" ht="25.5">
      <c r="A90" s="331"/>
      <c r="B90" s="310" t="s">
        <v>590</v>
      </c>
      <c r="C90" s="91" t="s">
        <v>426</v>
      </c>
      <c r="D90" s="95" t="s">
        <v>427</v>
      </c>
      <c r="E90" s="91" t="s">
        <v>27</v>
      </c>
      <c r="F90" s="115">
        <v>155.73</v>
      </c>
      <c r="G90" s="87">
        <v>60.8</v>
      </c>
      <c r="H90" s="87">
        <f t="shared" si="7"/>
        <v>79.94</v>
      </c>
      <c r="I90" s="90">
        <f t="shared" si="8"/>
        <v>12449.06</v>
      </c>
      <c r="J90" s="16"/>
    </row>
    <row r="91" spans="1:10" ht="12.75">
      <c r="A91" s="331"/>
      <c r="B91" s="310" t="s">
        <v>591</v>
      </c>
      <c r="C91" s="12" t="s">
        <v>75</v>
      </c>
      <c r="D91" s="37" t="s">
        <v>76</v>
      </c>
      <c r="E91" s="12" t="s">
        <v>77</v>
      </c>
      <c r="F91" s="14">
        <v>1946.45</v>
      </c>
      <c r="G91" s="29">
        <v>7.51</v>
      </c>
      <c r="H91" s="87">
        <f>ROUND(G91+(G91*$I$9),2)</f>
        <v>9.87</v>
      </c>
      <c r="I91" s="90">
        <f>ROUND((F91*H91),2)</f>
        <v>19211.46</v>
      </c>
      <c r="J91" s="16"/>
    </row>
    <row r="92" spans="1:10" ht="12.75">
      <c r="A92" s="331"/>
      <c r="B92" s="310" t="s">
        <v>592</v>
      </c>
      <c r="C92" s="117" t="s">
        <v>413</v>
      </c>
      <c r="D92" s="118" t="s">
        <v>78</v>
      </c>
      <c r="E92" s="12" t="s">
        <v>77</v>
      </c>
      <c r="F92" s="14">
        <v>240.18</v>
      </c>
      <c r="G92" s="29" t="s">
        <v>79</v>
      </c>
      <c r="H92" s="87">
        <f>ROUND(G92+(G92*$I$9),2)</f>
        <v>9.82</v>
      </c>
      <c r="I92" s="90">
        <f>ROUND((F92*H92),2)</f>
        <v>2358.57</v>
      </c>
      <c r="J92" s="16"/>
    </row>
    <row r="93" spans="1:10" ht="25.5">
      <c r="A93" s="331"/>
      <c r="B93" s="310" t="s">
        <v>593</v>
      </c>
      <c r="C93" s="27" t="s">
        <v>80</v>
      </c>
      <c r="D93" s="37" t="s">
        <v>81</v>
      </c>
      <c r="E93" s="12" t="s">
        <v>54</v>
      </c>
      <c r="F93" s="14">
        <v>10.71</v>
      </c>
      <c r="G93" s="29">
        <v>348</v>
      </c>
      <c r="H93" s="87">
        <f>ROUND(G93+(G93*$I$9),2)</f>
        <v>457.55</v>
      </c>
      <c r="I93" s="90">
        <f>ROUND((F93*H93),2)</f>
        <v>4900.36</v>
      </c>
      <c r="J93" s="16"/>
    </row>
    <row r="94" spans="1:10" ht="38.25">
      <c r="A94" s="331"/>
      <c r="B94" s="310" t="s">
        <v>594</v>
      </c>
      <c r="C94" s="36" t="s">
        <v>454</v>
      </c>
      <c r="D94" s="37" t="s">
        <v>455</v>
      </c>
      <c r="E94" s="12" t="s">
        <v>27</v>
      </c>
      <c r="F94" s="14">
        <v>84.33</v>
      </c>
      <c r="G94" s="15">
        <v>57.71</v>
      </c>
      <c r="H94" s="87">
        <f>ROUND(G94+(G94*$I$9),2)</f>
        <v>75.88</v>
      </c>
      <c r="I94" s="90">
        <f>ROUND((F94*H94),2)</f>
        <v>6398.96</v>
      </c>
      <c r="J94" s="16"/>
    </row>
    <row r="95" spans="1:10" ht="19.5" customHeight="1">
      <c r="A95" s="331"/>
      <c r="B95" s="305" t="s">
        <v>595</v>
      </c>
      <c r="C95" s="176"/>
      <c r="D95" s="173" t="s">
        <v>90</v>
      </c>
      <c r="E95" s="176"/>
      <c r="F95" s="175"/>
      <c r="G95" s="227"/>
      <c r="H95" s="227"/>
      <c r="I95" s="306"/>
      <c r="J95" s="16"/>
    </row>
    <row r="96" spans="1:10" ht="25.5">
      <c r="A96" s="331"/>
      <c r="B96" s="310" t="s">
        <v>596</v>
      </c>
      <c r="C96" s="91" t="s">
        <v>426</v>
      </c>
      <c r="D96" s="95" t="s">
        <v>427</v>
      </c>
      <c r="E96" s="12" t="s">
        <v>27</v>
      </c>
      <c r="F96" s="14">
        <v>111.8</v>
      </c>
      <c r="G96" s="87">
        <v>60.8</v>
      </c>
      <c r="H96" s="87">
        <f>ROUND(G96+(G96*$I$9),2)</f>
        <v>79.94</v>
      </c>
      <c r="I96" s="90">
        <f>ROUND((F96*H96),2)</f>
        <v>8937.29</v>
      </c>
      <c r="J96" s="16"/>
    </row>
    <row r="97" spans="1:10" ht="12.75">
      <c r="A97" s="331"/>
      <c r="B97" s="310" t="s">
        <v>597</v>
      </c>
      <c r="C97" s="12" t="s">
        <v>75</v>
      </c>
      <c r="D97" s="37" t="s">
        <v>76</v>
      </c>
      <c r="E97" s="12" t="s">
        <v>77</v>
      </c>
      <c r="F97" s="14">
        <v>135.39</v>
      </c>
      <c r="G97" s="29">
        <v>7.51</v>
      </c>
      <c r="H97" s="87">
        <f>ROUND(G97+(G97*$I$9),2)</f>
        <v>9.87</v>
      </c>
      <c r="I97" s="90">
        <f>ROUND((F97*H97),2)</f>
        <v>1336.3</v>
      </c>
      <c r="J97" s="16"/>
    </row>
    <row r="98" spans="1:10" ht="12.75">
      <c r="A98" s="331"/>
      <c r="B98" s="310" t="s">
        <v>598</v>
      </c>
      <c r="C98" s="117" t="s">
        <v>413</v>
      </c>
      <c r="D98" s="118" t="s">
        <v>78</v>
      </c>
      <c r="E98" s="12" t="s">
        <v>77</v>
      </c>
      <c r="F98" s="14">
        <v>95.93</v>
      </c>
      <c r="G98" s="29" t="s">
        <v>79</v>
      </c>
      <c r="H98" s="87">
        <f>ROUND(G98+(G98*$I$9),2)</f>
        <v>9.82</v>
      </c>
      <c r="I98" s="90">
        <f>ROUND((F98*H98),2)</f>
        <v>942.03</v>
      </c>
      <c r="J98" s="16"/>
    </row>
    <row r="99" spans="1:10" ht="25.5">
      <c r="A99" s="331"/>
      <c r="B99" s="310" t="s">
        <v>599</v>
      </c>
      <c r="C99" s="27" t="s">
        <v>80</v>
      </c>
      <c r="D99" s="37" t="s">
        <v>81</v>
      </c>
      <c r="E99" s="12" t="s">
        <v>54</v>
      </c>
      <c r="F99" s="14">
        <v>6.59</v>
      </c>
      <c r="G99" s="29">
        <v>348</v>
      </c>
      <c r="H99" s="87">
        <f>ROUND(G99+(G99*$I$9),2)</f>
        <v>457.55</v>
      </c>
      <c r="I99" s="90">
        <f>ROUND((F99*H99),2)</f>
        <v>3015.25</v>
      </c>
      <c r="J99" s="16"/>
    </row>
    <row r="100" spans="1:10" ht="12.75">
      <c r="A100" s="331"/>
      <c r="B100" s="311" t="s">
        <v>600</v>
      </c>
      <c r="C100" s="261"/>
      <c r="D100" s="262" t="s">
        <v>92</v>
      </c>
      <c r="E100" s="261"/>
      <c r="F100" s="263"/>
      <c r="G100" s="264"/>
      <c r="H100" s="264">
        <f>ROUND(G100+(G100*$I$9),2)</f>
        <v>0</v>
      </c>
      <c r="I100" s="312">
        <f>ROUND((F100*H100),2)</f>
        <v>0</v>
      </c>
      <c r="J100" s="16"/>
    </row>
    <row r="101" spans="1:10" ht="25.5">
      <c r="A101" s="331"/>
      <c r="B101" s="310" t="s">
        <v>601</v>
      </c>
      <c r="C101" s="91" t="s">
        <v>426</v>
      </c>
      <c r="D101" s="95" t="s">
        <v>427</v>
      </c>
      <c r="E101" s="12" t="s">
        <v>27</v>
      </c>
      <c r="F101" s="14">
        <v>10.8</v>
      </c>
      <c r="G101" s="87">
        <v>60.8</v>
      </c>
      <c r="H101" s="87">
        <f>ROUND(G101+(G101*$I$9),2)</f>
        <v>79.94</v>
      </c>
      <c r="I101" s="90">
        <f>ROUND((F101*H101),2)</f>
        <v>863.35</v>
      </c>
      <c r="J101" s="16"/>
    </row>
    <row r="102" spans="1:10" ht="12.75">
      <c r="A102" s="331"/>
      <c r="B102" s="310" t="s">
        <v>717</v>
      </c>
      <c r="C102" s="12" t="s">
        <v>93</v>
      </c>
      <c r="D102" s="35" t="s">
        <v>94</v>
      </c>
      <c r="E102" s="12" t="s">
        <v>54</v>
      </c>
      <c r="F102" s="14">
        <v>33.83</v>
      </c>
      <c r="G102" s="15">
        <v>94.45</v>
      </c>
      <c r="H102" s="87">
        <f>ROUND(G102+(G102*$I$9),2)</f>
        <v>124.18</v>
      </c>
      <c r="I102" s="90">
        <f>ROUND((F102*H102),2)</f>
        <v>4201.01</v>
      </c>
      <c r="J102" s="16"/>
    </row>
    <row r="103" spans="1:10" ht="25.5">
      <c r="A103" s="331"/>
      <c r="B103" s="310" t="s">
        <v>718</v>
      </c>
      <c r="C103" s="91">
        <v>85662</v>
      </c>
      <c r="D103" s="95" t="s">
        <v>415</v>
      </c>
      <c r="E103" s="91" t="s">
        <v>27</v>
      </c>
      <c r="F103" s="115">
        <v>1001.47</v>
      </c>
      <c r="G103" s="116">
        <v>10.38</v>
      </c>
      <c r="H103" s="87">
        <f>ROUND(G103+(G103*$I$9),2)</f>
        <v>13.65</v>
      </c>
      <c r="I103" s="90">
        <f>ROUND((F103*H103),2)</f>
        <v>13670.07</v>
      </c>
      <c r="J103" s="16"/>
    </row>
    <row r="104" spans="1:10" ht="25.5">
      <c r="A104" s="331"/>
      <c r="B104" s="310" t="s">
        <v>719</v>
      </c>
      <c r="C104" s="27" t="s">
        <v>80</v>
      </c>
      <c r="D104" s="37" t="s">
        <v>81</v>
      </c>
      <c r="E104" s="119" t="s">
        <v>54</v>
      </c>
      <c r="F104" s="120">
        <v>27.07</v>
      </c>
      <c r="G104" s="121">
        <v>348</v>
      </c>
      <c r="H104" s="87">
        <f>ROUND(G104+(G104*$I$9),2)</f>
        <v>457.55</v>
      </c>
      <c r="I104" s="90">
        <f>ROUND((F104*H104),2)</f>
        <v>12385.88</v>
      </c>
      <c r="J104" s="16"/>
    </row>
    <row r="105" spans="1:10" ht="19.5" customHeight="1">
      <c r="A105" s="331"/>
      <c r="B105" s="305" t="s">
        <v>716</v>
      </c>
      <c r="C105" s="176"/>
      <c r="D105" s="173" t="s">
        <v>95</v>
      </c>
      <c r="E105" s="176"/>
      <c r="F105" s="175"/>
      <c r="G105" s="227"/>
      <c r="H105" s="227"/>
      <c r="I105" s="306"/>
      <c r="J105" s="16"/>
    </row>
    <row r="106" spans="1:10" ht="25.5">
      <c r="A106" s="331"/>
      <c r="B106" s="310" t="s">
        <v>720</v>
      </c>
      <c r="C106" s="91" t="s">
        <v>416</v>
      </c>
      <c r="D106" s="95" t="s">
        <v>417</v>
      </c>
      <c r="E106" s="91" t="s">
        <v>48</v>
      </c>
      <c r="F106" s="115">
        <v>33.9</v>
      </c>
      <c r="G106" s="87">
        <v>26.25</v>
      </c>
      <c r="H106" s="87">
        <f>ROUND(G106+(G106*$I$9),2)</f>
        <v>34.51</v>
      </c>
      <c r="I106" s="90">
        <f>ROUND((F106*H106),2)</f>
        <v>1169.89</v>
      </c>
      <c r="J106" s="16"/>
    </row>
    <row r="107" spans="1:10" ht="27.75" customHeight="1">
      <c r="A107" s="331"/>
      <c r="B107" s="303">
        <v>9</v>
      </c>
      <c r="C107" s="9"/>
      <c r="D107" s="113" t="s">
        <v>96</v>
      </c>
      <c r="E107" s="8"/>
      <c r="F107" s="30"/>
      <c r="G107" s="31"/>
      <c r="H107" s="32"/>
      <c r="I107" s="304">
        <f>SUM(I108:I114)</f>
        <v>45743.590000000004</v>
      </c>
      <c r="J107" s="16"/>
    </row>
    <row r="108" spans="1:10" ht="19.5" customHeight="1">
      <c r="A108" s="331"/>
      <c r="B108" s="311" t="s">
        <v>130</v>
      </c>
      <c r="C108" s="245"/>
      <c r="D108" s="173" t="s">
        <v>98</v>
      </c>
      <c r="E108" s="246"/>
      <c r="F108" s="175"/>
      <c r="G108" s="225"/>
      <c r="H108" s="170">
        <f aca="true" t="shared" si="9" ref="H108:H113">ROUND(G108+(G108*$I$9),2)</f>
        <v>0</v>
      </c>
      <c r="I108" s="309">
        <f aca="true" t="shared" si="10" ref="I108:I113">ROUND((F108*H108),2)</f>
        <v>0</v>
      </c>
      <c r="J108" s="16"/>
    </row>
    <row r="109" spans="1:10" ht="25.5">
      <c r="A109" s="331"/>
      <c r="B109" s="313" t="s">
        <v>602</v>
      </c>
      <c r="C109" s="94" t="s">
        <v>428</v>
      </c>
      <c r="D109" s="95" t="s">
        <v>429</v>
      </c>
      <c r="E109" s="92" t="s">
        <v>27</v>
      </c>
      <c r="F109" s="115">
        <v>134.72</v>
      </c>
      <c r="G109" s="116">
        <v>82.33</v>
      </c>
      <c r="H109" s="87">
        <f t="shared" si="9"/>
        <v>108.25</v>
      </c>
      <c r="I109" s="90">
        <f t="shared" si="10"/>
        <v>14583.44</v>
      </c>
      <c r="J109" s="16"/>
    </row>
    <row r="110" spans="1:10" ht="19.5" customHeight="1">
      <c r="A110" s="331"/>
      <c r="B110" s="311" t="s">
        <v>131</v>
      </c>
      <c r="C110" s="245"/>
      <c r="D110" s="173" t="s">
        <v>101</v>
      </c>
      <c r="E110" s="246"/>
      <c r="F110" s="175"/>
      <c r="G110" s="170"/>
      <c r="H110" s="170">
        <f t="shared" si="9"/>
        <v>0</v>
      </c>
      <c r="I110" s="309">
        <f t="shared" si="10"/>
        <v>0</v>
      </c>
      <c r="J110" s="16"/>
    </row>
    <row r="111" spans="1:10" ht="51">
      <c r="A111" s="331"/>
      <c r="B111" s="313" t="s">
        <v>603</v>
      </c>
      <c r="C111" s="96">
        <v>87519</v>
      </c>
      <c r="D111" s="97" t="s">
        <v>419</v>
      </c>
      <c r="E111" s="92" t="s">
        <v>27</v>
      </c>
      <c r="F111" s="115">
        <v>259.22</v>
      </c>
      <c r="G111" s="87">
        <v>51.12</v>
      </c>
      <c r="H111" s="87">
        <f t="shared" si="9"/>
        <v>67.21</v>
      </c>
      <c r="I111" s="90">
        <f t="shared" si="10"/>
        <v>17422.18</v>
      </c>
      <c r="J111" s="16"/>
    </row>
    <row r="112" spans="1:10" ht="25.5">
      <c r="A112" s="331"/>
      <c r="B112" s="313" t="s">
        <v>604</v>
      </c>
      <c r="C112" s="96" t="s">
        <v>418</v>
      </c>
      <c r="D112" s="97" t="s">
        <v>420</v>
      </c>
      <c r="E112" s="92" t="s">
        <v>48</v>
      </c>
      <c r="F112" s="115">
        <v>69.4</v>
      </c>
      <c r="G112" s="116">
        <v>17.5</v>
      </c>
      <c r="H112" s="87">
        <f>ROUND(G112+(G112*$I$9),2)</f>
        <v>23.01</v>
      </c>
      <c r="I112" s="90">
        <f>ROUND((F112*H112),2)</f>
        <v>1596.89</v>
      </c>
      <c r="J112" s="16"/>
    </row>
    <row r="113" spans="1:10" ht="20.25" customHeight="1">
      <c r="A113" s="331"/>
      <c r="B113" s="311" t="s">
        <v>132</v>
      </c>
      <c r="C113" s="245"/>
      <c r="D113" s="173" t="s">
        <v>105</v>
      </c>
      <c r="E113" s="246"/>
      <c r="F113" s="175"/>
      <c r="G113" s="225"/>
      <c r="H113" s="170">
        <f t="shared" si="9"/>
        <v>0</v>
      </c>
      <c r="I113" s="309">
        <f t="shared" si="10"/>
        <v>0</v>
      </c>
      <c r="J113" s="16"/>
    </row>
    <row r="114" spans="1:10" ht="21" customHeight="1">
      <c r="A114" s="331"/>
      <c r="B114" s="313" t="s">
        <v>605</v>
      </c>
      <c r="C114" s="34" t="s">
        <v>456</v>
      </c>
      <c r="D114" s="35" t="s">
        <v>457</v>
      </c>
      <c r="E114" s="18" t="s">
        <v>27</v>
      </c>
      <c r="F114" s="14">
        <v>148.08</v>
      </c>
      <c r="G114" s="15">
        <v>62.36</v>
      </c>
      <c r="H114" s="87">
        <f>ROUND(G114+(G114*$I$9),2)</f>
        <v>81.99</v>
      </c>
      <c r="I114" s="90">
        <f>ROUND((F114*H114),2)</f>
        <v>12141.08</v>
      </c>
      <c r="J114" s="16"/>
    </row>
    <row r="115" spans="1:10" ht="27.75" customHeight="1">
      <c r="A115" s="331"/>
      <c r="B115" s="303">
        <v>10</v>
      </c>
      <c r="C115" s="9"/>
      <c r="D115" s="113" t="s">
        <v>107</v>
      </c>
      <c r="E115" s="8"/>
      <c r="F115" s="30"/>
      <c r="G115" s="31"/>
      <c r="H115" s="32"/>
      <c r="I115" s="304">
        <f>SUM(I116:I128)</f>
        <v>16772.44</v>
      </c>
      <c r="J115" s="16"/>
    </row>
    <row r="116" spans="1:10" ht="18.75" customHeight="1">
      <c r="A116" s="331"/>
      <c r="B116" s="314" t="s">
        <v>134</v>
      </c>
      <c r="C116" s="247"/>
      <c r="D116" s="248" t="s">
        <v>109</v>
      </c>
      <c r="E116" s="246"/>
      <c r="F116" s="175"/>
      <c r="G116" s="170"/>
      <c r="H116" s="170">
        <f>ROUND(G116+(G116*$I$9),2)</f>
        <v>0</v>
      </c>
      <c r="I116" s="309">
        <f>ROUND((F116*H116),2)</f>
        <v>0</v>
      </c>
      <c r="J116" s="16"/>
    </row>
    <row r="117" spans="1:10" s="42" customFormat="1" ht="63.75">
      <c r="A117" s="348"/>
      <c r="B117" s="302" t="s">
        <v>136</v>
      </c>
      <c r="C117" s="94">
        <v>90843</v>
      </c>
      <c r="D117" s="95" t="s">
        <v>430</v>
      </c>
      <c r="E117" s="18" t="s">
        <v>31</v>
      </c>
      <c r="F117" s="14">
        <v>2</v>
      </c>
      <c r="G117" s="89">
        <v>663.17</v>
      </c>
      <c r="H117" s="87">
        <f>ROUND(G117+(G117*$I$9),2)</f>
        <v>871.94</v>
      </c>
      <c r="I117" s="90">
        <f>ROUND((F117*H117),2)</f>
        <v>1743.88</v>
      </c>
      <c r="J117" s="16"/>
    </row>
    <row r="118" spans="1:10" ht="63.75">
      <c r="A118" s="331"/>
      <c r="B118" s="302" t="s">
        <v>139</v>
      </c>
      <c r="C118" s="94">
        <v>90844</v>
      </c>
      <c r="D118" s="95" t="s">
        <v>431</v>
      </c>
      <c r="E118" s="18" t="s">
        <v>31</v>
      </c>
      <c r="F118" s="14">
        <v>1</v>
      </c>
      <c r="G118" s="87">
        <v>688.69</v>
      </c>
      <c r="H118" s="87">
        <f>ROUND(G118+(G118*$I$9),2)</f>
        <v>905.49</v>
      </c>
      <c r="I118" s="90">
        <f>ROUND((F118*H118),2)</f>
        <v>905.49</v>
      </c>
      <c r="J118" s="16"/>
    </row>
    <row r="119" spans="1:10" ht="38.25">
      <c r="A119" s="331"/>
      <c r="B119" s="302" t="s">
        <v>140</v>
      </c>
      <c r="C119" s="94" t="s">
        <v>462</v>
      </c>
      <c r="D119" s="95" t="s">
        <v>463</v>
      </c>
      <c r="E119" s="18" t="s">
        <v>31</v>
      </c>
      <c r="F119" s="14">
        <v>4</v>
      </c>
      <c r="G119" s="15">
        <v>423.6</v>
      </c>
      <c r="H119" s="87">
        <f>ROUND(G119+(G119*$I$9),2)</f>
        <v>556.95</v>
      </c>
      <c r="I119" s="90">
        <f>ROUND((F119*H119),2)</f>
        <v>2227.8</v>
      </c>
      <c r="J119" s="16"/>
    </row>
    <row r="120" spans="1:10" ht="38.25">
      <c r="A120" s="331"/>
      <c r="B120" s="302" t="s">
        <v>142</v>
      </c>
      <c r="C120" s="94" t="s">
        <v>462</v>
      </c>
      <c r="D120" s="95" t="s">
        <v>464</v>
      </c>
      <c r="E120" s="18" t="s">
        <v>31</v>
      </c>
      <c r="F120" s="14">
        <v>2</v>
      </c>
      <c r="G120" s="15">
        <v>423.6</v>
      </c>
      <c r="H120" s="87">
        <f>ROUND(G120+(G120*$I$9),2)</f>
        <v>556.95</v>
      </c>
      <c r="I120" s="90">
        <f>ROUND((F120*H120),2)</f>
        <v>1113.9</v>
      </c>
      <c r="J120" s="16"/>
    </row>
    <row r="121" spans="1:10" ht="12.75">
      <c r="A121" s="331"/>
      <c r="B121" s="314" t="s">
        <v>145</v>
      </c>
      <c r="C121" s="245"/>
      <c r="D121" s="173" t="s">
        <v>111</v>
      </c>
      <c r="E121" s="246"/>
      <c r="F121" s="175"/>
      <c r="G121" s="225"/>
      <c r="H121" s="170">
        <f aca="true" t="shared" si="11" ref="H121:H128">ROUND(G121+(G121*$I$9),2)</f>
        <v>0</v>
      </c>
      <c r="I121" s="309">
        <f aca="true" t="shared" si="12" ref="I121:I128">ROUND((F121*H121),2)</f>
        <v>0</v>
      </c>
      <c r="J121" s="16"/>
    </row>
    <row r="122" spans="1:10" ht="25.5" customHeight="1">
      <c r="A122" s="331"/>
      <c r="B122" s="315" t="s">
        <v>147</v>
      </c>
      <c r="C122" s="36" t="s">
        <v>112</v>
      </c>
      <c r="D122" s="37" t="s">
        <v>113</v>
      </c>
      <c r="E122" s="27" t="s">
        <v>48</v>
      </c>
      <c r="F122" s="43">
        <v>11.6</v>
      </c>
      <c r="G122" s="29">
        <v>152.56</v>
      </c>
      <c r="H122" s="87">
        <f t="shared" si="11"/>
        <v>200.59</v>
      </c>
      <c r="I122" s="90">
        <f t="shared" si="12"/>
        <v>2326.84</v>
      </c>
      <c r="J122" s="16"/>
    </row>
    <row r="123" spans="1:10" ht="12.75">
      <c r="A123" s="331"/>
      <c r="B123" s="314" t="s">
        <v>508</v>
      </c>
      <c r="C123" s="245"/>
      <c r="D123" s="173" t="s">
        <v>116</v>
      </c>
      <c r="E123" s="172"/>
      <c r="F123" s="175"/>
      <c r="G123" s="170"/>
      <c r="H123" s="170">
        <f t="shared" si="11"/>
        <v>0</v>
      </c>
      <c r="I123" s="309">
        <f t="shared" si="12"/>
        <v>0</v>
      </c>
      <c r="J123" s="16"/>
    </row>
    <row r="124" spans="1:10" ht="25.5">
      <c r="A124" s="331"/>
      <c r="B124" s="316" t="s">
        <v>606</v>
      </c>
      <c r="C124" s="94" t="s">
        <v>432</v>
      </c>
      <c r="D124" s="95" t="s">
        <v>433</v>
      </c>
      <c r="E124" s="92" t="s">
        <v>27</v>
      </c>
      <c r="F124" s="115">
        <v>10.8</v>
      </c>
      <c r="G124" s="87">
        <v>335.18</v>
      </c>
      <c r="H124" s="87">
        <f t="shared" si="11"/>
        <v>440.69</v>
      </c>
      <c r="I124" s="90">
        <f t="shared" si="12"/>
        <v>4759.45</v>
      </c>
      <c r="J124" s="16"/>
    </row>
    <row r="125" spans="1:10" ht="18.75" customHeight="1">
      <c r="A125" s="331"/>
      <c r="B125" s="316" t="s">
        <v>607</v>
      </c>
      <c r="C125" s="94">
        <v>85010</v>
      </c>
      <c r="D125" s="95" t="s">
        <v>421</v>
      </c>
      <c r="E125" s="92" t="s">
        <v>27</v>
      </c>
      <c r="F125" s="115">
        <v>2.08</v>
      </c>
      <c r="G125" s="87">
        <v>316.02</v>
      </c>
      <c r="H125" s="87">
        <f t="shared" si="11"/>
        <v>415.5</v>
      </c>
      <c r="I125" s="90">
        <f t="shared" si="12"/>
        <v>864.24</v>
      </c>
      <c r="J125" s="16"/>
    </row>
    <row r="126" spans="1:10" ht="12.75">
      <c r="A126" s="331"/>
      <c r="B126" s="314" t="s">
        <v>509</v>
      </c>
      <c r="C126" s="245"/>
      <c r="D126" s="173" t="s">
        <v>118</v>
      </c>
      <c r="E126" s="245"/>
      <c r="F126" s="175"/>
      <c r="G126" s="225"/>
      <c r="H126" s="170">
        <f t="shared" si="11"/>
        <v>0</v>
      </c>
      <c r="I126" s="309">
        <f t="shared" si="12"/>
        <v>0</v>
      </c>
      <c r="J126" s="16"/>
    </row>
    <row r="127" spans="1:10" ht="18.75" customHeight="1">
      <c r="A127" s="331"/>
      <c r="B127" s="316" t="s">
        <v>608</v>
      </c>
      <c r="C127" s="34" t="s">
        <v>466</v>
      </c>
      <c r="D127" s="35" t="s">
        <v>467</v>
      </c>
      <c r="E127" s="92" t="s">
        <v>27</v>
      </c>
      <c r="F127" s="115">
        <v>10.8</v>
      </c>
      <c r="G127" s="29">
        <v>84.93</v>
      </c>
      <c r="H127" s="87">
        <f t="shared" si="11"/>
        <v>111.67</v>
      </c>
      <c r="I127" s="90">
        <f t="shared" si="12"/>
        <v>1206.04</v>
      </c>
      <c r="J127" s="16"/>
    </row>
    <row r="128" spans="1:10" ht="25.5">
      <c r="A128" s="331"/>
      <c r="B128" s="316" t="s">
        <v>609</v>
      </c>
      <c r="C128" s="34" t="s">
        <v>119</v>
      </c>
      <c r="D128" s="35" t="s">
        <v>120</v>
      </c>
      <c r="E128" s="34" t="s">
        <v>27</v>
      </c>
      <c r="F128" s="14">
        <v>4.32</v>
      </c>
      <c r="G128" s="29">
        <v>286.06</v>
      </c>
      <c r="H128" s="87">
        <f t="shared" si="11"/>
        <v>376.11</v>
      </c>
      <c r="I128" s="90">
        <f t="shared" si="12"/>
        <v>1624.8</v>
      </c>
      <c r="J128" s="16"/>
    </row>
    <row r="129" spans="1:10" ht="30.75" customHeight="1">
      <c r="A129" s="331"/>
      <c r="B129" s="303">
        <v>11</v>
      </c>
      <c r="C129" s="9"/>
      <c r="D129" s="113" t="s">
        <v>121</v>
      </c>
      <c r="E129" s="8"/>
      <c r="F129" s="30"/>
      <c r="G129" s="32"/>
      <c r="H129" s="32"/>
      <c r="I129" s="304">
        <f>SUM(I130:I131)</f>
        <v>267960.35000000003</v>
      </c>
      <c r="J129" s="16"/>
    </row>
    <row r="130" spans="1:10" ht="38.25">
      <c r="A130" s="331"/>
      <c r="B130" s="316" t="s">
        <v>153</v>
      </c>
      <c r="C130" s="36" t="s">
        <v>468</v>
      </c>
      <c r="D130" s="35" t="s">
        <v>0</v>
      </c>
      <c r="E130" s="18" t="s">
        <v>27</v>
      </c>
      <c r="F130" s="14">
        <v>1030.4</v>
      </c>
      <c r="G130" s="15">
        <v>51.26</v>
      </c>
      <c r="H130" s="87">
        <f>ROUND(G130+(G130*$I$9),2)</f>
        <v>67.4</v>
      </c>
      <c r="I130" s="90">
        <f>ROUND((F130*H130),2)</f>
        <v>69448.96</v>
      </c>
      <c r="J130" s="16"/>
    </row>
    <row r="131" spans="1:10" ht="30" customHeight="1">
      <c r="A131" s="331"/>
      <c r="B131" s="302" t="s">
        <v>156</v>
      </c>
      <c r="C131" s="36" t="s">
        <v>124</v>
      </c>
      <c r="D131" s="35" t="s">
        <v>125</v>
      </c>
      <c r="E131" s="18" t="s">
        <v>27</v>
      </c>
      <c r="F131" s="14">
        <v>980.4</v>
      </c>
      <c r="G131" s="15">
        <v>154</v>
      </c>
      <c r="H131" s="87">
        <f>ROUND(G131+(G131*$I$9),2)</f>
        <v>202.48</v>
      </c>
      <c r="I131" s="90">
        <f>ROUND((F131*H131),2)</f>
        <v>198511.39</v>
      </c>
      <c r="J131" s="16"/>
    </row>
    <row r="132" spans="1:10" ht="26.25" customHeight="1">
      <c r="A132" s="331"/>
      <c r="B132" s="303">
        <v>12</v>
      </c>
      <c r="C132" s="9"/>
      <c r="D132" s="113" t="s">
        <v>126</v>
      </c>
      <c r="E132" s="8"/>
      <c r="F132" s="30"/>
      <c r="G132" s="44"/>
      <c r="H132" s="44"/>
      <c r="I132" s="304">
        <f>SUM(I133:I134)</f>
        <v>7675.75</v>
      </c>
      <c r="J132" s="16"/>
    </row>
    <row r="133" spans="1:10" ht="38.25">
      <c r="A133" s="331"/>
      <c r="B133" s="310" t="s">
        <v>168</v>
      </c>
      <c r="C133" s="96" t="s">
        <v>422</v>
      </c>
      <c r="D133" s="97" t="s">
        <v>424</v>
      </c>
      <c r="E133" s="98" t="s">
        <v>27</v>
      </c>
      <c r="F133" s="115">
        <v>379.63</v>
      </c>
      <c r="G133" s="87">
        <v>7.27</v>
      </c>
      <c r="H133" s="87">
        <f>ROUND(G133+(G133*$I$9),2)</f>
        <v>9.56</v>
      </c>
      <c r="I133" s="90">
        <f>ROUND((F133*H133),2)</f>
        <v>3629.26</v>
      </c>
      <c r="J133" s="16"/>
    </row>
    <row r="134" spans="1:10" ht="25.5">
      <c r="A134" s="331"/>
      <c r="B134" s="310" t="s">
        <v>179</v>
      </c>
      <c r="C134" s="91">
        <v>68053</v>
      </c>
      <c r="D134" s="99" t="s">
        <v>423</v>
      </c>
      <c r="E134" s="91" t="s">
        <v>27</v>
      </c>
      <c r="F134" s="115">
        <v>676.67</v>
      </c>
      <c r="G134" s="87">
        <v>4.55</v>
      </c>
      <c r="H134" s="87">
        <f>ROUND(G134+(G134*$I$9),2)</f>
        <v>5.98</v>
      </c>
      <c r="I134" s="90">
        <f>ROUND((F134*H134),2)</f>
        <v>4046.49</v>
      </c>
      <c r="J134" s="16"/>
    </row>
    <row r="135" spans="1:10" ht="25.5" customHeight="1">
      <c r="A135" s="331"/>
      <c r="B135" s="317">
        <v>13</v>
      </c>
      <c r="C135" s="268"/>
      <c r="D135" s="269" t="s">
        <v>129</v>
      </c>
      <c r="E135" s="267"/>
      <c r="F135" s="270"/>
      <c r="G135" s="271"/>
      <c r="H135" s="272"/>
      <c r="I135" s="318">
        <f>SUM(I136:I140)</f>
        <v>71111.78</v>
      </c>
      <c r="J135" s="16"/>
    </row>
    <row r="136" spans="1:10" ht="25.5" customHeight="1">
      <c r="A136" s="331"/>
      <c r="B136" s="319" t="s">
        <v>199</v>
      </c>
      <c r="C136" s="94" t="s">
        <v>722</v>
      </c>
      <c r="D136" s="95" t="s">
        <v>723</v>
      </c>
      <c r="E136" s="18" t="s">
        <v>27</v>
      </c>
      <c r="F136" s="274">
        <f>803.09+84.33+140.33</f>
        <v>1027.75</v>
      </c>
      <c r="G136" s="273">
        <v>7.54</v>
      </c>
      <c r="H136" s="87">
        <f>ROUND(G136+(G136*$I$9),2)</f>
        <v>9.91</v>
      </c>
      <c r="I136" s="90">
        <f>ROUND((F136*H136),2)</f>
        <v>10185</v>
      </c>
      <c r="J136" s="16"/>
    </row>
    <row r="137" spans="1:10" ht="25.5" customHeight="1">
      <c r="A137" s="331"/>
      <c r="B137" s="319" t="s">
        <v>728</v>
      </c>
      <c r="C137" s="122" t="s">
        <v>465</v>
      </c>
      <c r="D137" s="123" t="s">
        <v>721</v>
      </c>
      <c r="E137" s="18" t="s">
        <v>27</v>
      </c>
      <c r="F137" s="274">
        <f>445.04+84.33+140.33</f>
        <v>669.7</v>
      </c>
      <c r="G137" s="273">
        <v>22</v>
      </c>
      <c r="H137" s="87">
        <f>ROUND(G137+(G137*$I$9),2)</f>
        <v>28.93</v>
      </c>
      <c r="I137" s="90">
        <f>ROUND((F137*H137),2)</f>
        <v>19374.42</v>
      </c>
      <c r="J137" s="16"/>
    </row>
    <row r="138" spans="1:10" ht="25.5" customHeight="1">
      <c r="A138" s="331"/>
      <c r="B138" s="319" t="s">
        <v>729</v>
      </c>
      <c r="C138" s="122" t="s">
        <v>727</v>
      </c>
      <c r="D138" s="123" t="s">
        <v>726</v>
      </c>
      <c r="E138" s="275" t="s">
        <v>27</v>
      </c>
      <c r="F138" s="274">
        <f>743.93+140.33</f>
        <v>884.26</v>
      </c>
      <c r="G138" s="273">
        <v>17.03</v>
      </c>
      <c r="H138" s="87">
        <f>ROUND(G138+(G138*$I$9),2)</f>
        <v>22.39</v>
      </c>
      <c r="I138" s="90">
        <f>ROUND((F138*H138),2)</f>
        <v>19798.58</v>
      </c>
      <c r="J138" s="16"/>
    </row>
    <row r="139" spans="1:10" ht="51">
      <c r="A139" s="331"/>
      <c r="B139" s="319" t="s">
        <v>730</v>
      </c>
      <c r="C139" s="122">
        <v>87273</v>
      </c>
      <c r="D139" s="123" t="s">
        <v>725</v>
      </c>
      <c r="E139" s="18" t="s">
        <v>27</v>
      </c>
      <c r="F139" s="14">
        <v>210.5</v>
      </c>
      <c r="G139" s="89">
        <v>56.39</v>
      </c>
      <c r="H139" s="87">
        <f>ROUND(G139+(G139*$I$9),2)</f>
        <v>74.14</v>
      </c>
      <c r="I139" s="90">
        <f>ROUND((F139*H139),2)</f>
        <v>15606.47</v>
      </c>
      <c r="J139" s="16"/>
    </row>
    <row r="140" spans="1:10" ht="30" customHeight="1">
      <c r="A140" s="331"/>
      <c r="B140" s="319" t="s">
        <v>731</v>
      </c>
      <c r="C140" s="122" t="s">
        <v>425</v>
      </c>
      <c r="D140" s="97" t="s">
        <v>724</v>
      </c>
      <c r="E140" s="18" t="s">
        <v>27</v>
      </c>
      <c r="F140" s="14">
        <v>85.51</v>
      </c>
      <c r="G140" s="87">
        <v>54.68</v>
      </c>
      <c r="H140" s="87">
        <f>ROUND(G140+(G140*$I$9),2)</f>
        <v>71.89</v>
      </c>
      <c r="I140" s="90">
        <f>ROUND((F140*H140),2)</f>
        <v>6147.31</v>
      </c>
      <c r="J140" s="16"/>
    </row>
    <row r="141" spans="1:10" ht="25.5" customHeight="1">
      <c r="A141" s="331"/>
      <c r="B141" s="303">
        <v>14</v>
      </c>
      <c r="C141" s="9"/>
      <c r="D141" s="113" t="s">
        <v>133</v>
      </c>
      <c r="E141" s="8"/>
      <c r="F141" s="30"/>
      <c r="G141" s="32"/>
      <c r="H141" s="32"/>
      <c r="I141" s="304">
        <f>SUM(I142:I151)</f>
        <v>80471.82</v>
      </c>
      <c r="J141" s="16"/>
    </row>
    <row r="142" spans="1:10" ht="17.25" customHeight="1">
      <c r="A142" s="331"/>
      <c r="B142" s="320" t="s">
        <v>220</v>
      </c>
      <c r="C142" s="249"/>
      <c r="D142" s="250" t="s">
        <v>135</v>
      </c>
      <c r="E142" s="246"/>
      <c r="F142" s="175"/>
      <c r="G142" s="227"/>
      <c r="H142" s="227"/>
      <c r="I142" s="306"/>
      <c r="J142" s="16"/>
    </row>
    <row r="143" spans="1:10" ht="25.5">
      <c r="A143" s="331"/>
      <c r="B143" s="316" t="s">
        <v>510</v>
      </c>
      <c r="C143" s="34" t="s">
        <v>137</v>
      </c>
      <c r="D143" s="35" t="s">
        <v>138</v>
      </c>
      <c r="E143" s="45" t="s">
        <v>27</v>
      </c>
      <c r="F143" s="14">
        <v>64.91</v>
      </c>
      <c r="G143" s="15">
        <v>57.86</v>
      </c>
      <c r="H143" s="87">
        <f>ROUND(G143+(G143*$I$9),2)</f>
        <v>76.07</v>
      </c>
      <c r="I143" s="90">
        <f>ROUND((F143*H143),2)</f>
        <v>4937.7</v>
      </c>
      <c r="J143" s="16"/>
    </row>
    <row r="144" spans="1:10" ht="38.25">
      <c r="A144" s="331"/>
      <c r="B144" s="316" t="s">
        <v>511</v>
      </c>
      <c r="C144" s="160">
        <v>87630</v>
      </c>
      <c r="D144" s="161" t="s">
        <v>492</v>
      </c>
      <c r="E144" s="45" t="s">
        <v>27</v>
      </c>
      <c r="F144" s="14">
        <v>64.91</v>
      </c>
      <c r="G144" s="15">
        <v>24.55</v>
      </c>
      <c r="H144" s="87">
        <f>ROUND(G144+(G144*$I$9),2)</f>
        <v>32.28</v>
      </c>
      <c r="I144" s="90">
        <f>ROUND((F144*H144),2)</f>
        <v>2095.29</v>
      </c>
      <c r="J144" s="16"/>
    </row>
    <row r="145" spans="1:10" ht="34.5" customHeight="1">
      <c r="A145" s="331"/>
      <c r="B145" s="316" t="s">
        <v>512</v>
      </c>
      <c r="C145" s="34">
        <v>72136</v>
      </c>
      <c r="D145" s="35" t="s">
        <v>141</v>
      </c>
      <c r="E145" s="45" t="s">
        <v>27</v>
      </c>
      <c r="F145" s="14">
        <v>676.67</v>
      </c>
      <c r="G145" s="15">
        <v>64.23</v>
      </c>
      <c r="H145" s="87">
        <f>ROUND(G145+(G145*$I$9),2)</f>
        <v>84.45</v>
      </c>
      <c r="I145" s="90">
        <f>ROUND((F145*H145),2)</f>
        <v>57144.78</v>
      </c>
      <c r="J145" s="16"/>
    </row>
    <row r="146" spans="1:10" ht="40.5" customHeight="1">
      <c r="A146" s="331"/>
      <c r="B146" s="316" t="s">
        <v>513</v>
      </c>
      <c r="C146" s="157" t="s">
        <v>745</v>
      </c>
      <c r="D146" s="37" t="s">
        <v>746</v>
      </c>
      <c r="E146" s="18" t="s">
        <v>27</v>
      </c>
      <c r="F146" s="14">
        <v>64.91</v>
      </c>
      <c r="G146" s="15">
        <v>71.76</v>
      </c>
      <c r="H146" s="87">
        <f>ROUND(G146+(G146*$I$9),2)</f>
        <v>94.35</v>
      </c>
      <c r="I146" s="90">
        <f>ROUND((F146*H146),2)</f>
        <v>6124.26</v>
      </c>
      <c r="J146" s="16"/>
    </row>
    <row r="147" spans="1:10" ht="21" customHeight="1">
      <c r="A147" s="331"/>
      <c r="B147" s="316" t="s">
        <v>514</v>
      </c>
      <c r="C147" s="34" t="s">
        <v>143</v>
      </c>
      <c r="D147" s="35" t="s">
        <v>144</v>
      </c>
      <c r="E147" s="34" t="s">
        <v>48</v>
      </c>
      <c r="F147" s="158">
        <v>2.7</v>
      </c>
      <c r="G147" s="158">
        <v>200.99</v>
      </c>
      <c r="H147" s="87">
        <f>ROUND(G147+(G147*$I$9),2)</f>
        <v>264.26</v>
      </c>
      <c r="I147" s="90">
        <f>ROUND((F147*H147),2)</f>
        <v>713.5</v>
      </c>
      <c r="J147" s="16"/>
    </row>
    <row r="148" spans="1:10" ht="18.75" customHeight="1">
      <c r="A148" s="331"/>
      <c r="B148" s="320" t="s">
        <v>223</v>
      </c>
      <c r="C148" s="249"/>
      <c r="D148" s="250" t="s">
        <v>146</v>
      </c>
      <c r="E148" s="251"/>
      <c r="F148" s="175"/>
      <c r="G148" s="170"/>
      <c r="H148" s="170">
        <f>ROUND(G148+(G148*$I$9),2)</f>
        <v>0</v>
      </c>
      <c r="I148" s="309">
        <f>ROUND((F148*H148),2)</f>
        <v>0</v>
      </c>
      <c r="J148" s="16"/>
    </row>
    <row r="149" spans="1:10" ht="24.75" customHeight="1">
      <c r="A149" s="331"/>
      <c r="B149" s="316" t="s">
        <v>610</v>
      </c>
      <c r="C149" s="46" t="s">
        <v>148</v>
      </c>
      <c r="D149" s="35" t="s">
        <v>149</v>
      </c>
      <c r="E149" s="23" t="s">
        <v>27</v>
      </c>
      <c r="F149" s="14">
        <v>195.79</v>
      </c>
      <c r="G149" s="15">
        <v>34.14</v>
      </c>
      <c r="H149" s="87">
        <f>ROUND(G149+(G149*$I$9),2)</f>
        <v>44.89</v>
      </c>
      <c r="I149" s="90">
        <f>ROUND((F149*H149),2)</f>
        <v>8789.01</v>
      </c>
      <c r="J149" s="16"/>
    </row>
    <row r="150" spans="1:10" ht="38.25">
      <c r="A150" s="331"/>
      <c r="B150" s="316" t="s">
        <v>611</v>
      </c>
      <c r="C150" s="36" t="s">
        <v>1</v>
      </c>
      <c r="D150" s="159" t="s">
        <v>2</v>
      </c>
      <c r="E150" s="36" t="s">
        <v>54</v>
      </c>
      <c r="F150" s="14">
        <v>1.82</v>
      </c>
      <c r="G150" s="15">
        <v>56.19</v>
      </c>
      <c r="H150" s="87">
        <f>ROUND(G150+(G150*$I$9),2)</f>
        <v>73.88</v>
      </c>
      <c r="I150" s="90">
        <f>ROUND((F150*H150),2)</f>
        <v>134.46</v>
      </c>
      <c r="J150" s="16"/>
    </row>
    <row r="151" spans="1:10" ht="25.5">
      <c r="A151" s="331"/>
      <c r="B151" s="316" t="s">
        <v>612</v>
      </c>
      <c r="C151" s="34" t="s">
        <v>150</v>
      </c>
      <c r="D151" s="35" t="s">
        <v>151</v>
      </c>
      <c r="E151" s="23" t="s">
        <v>27</v>
      </c>
      <c r="F151" s="14">
        <v>5.85</v>
      </c>
      <c r="G151" s="15">
        <v>69.27</v>
      </c>
      <c r="H151" s="87">
        <f>ROUND(G151+(G151*$I$9),2)</f>
        <v>91.08</v>
      </c>
      <c r="I151" s="90">
        <f>ROUND((F151*H151),2)</f>
        <v>532.82</v>
      </c>
      <c r="J151" s="16"/>
    </row>
    <row r="152" spans="1:10" ht="29.25" customHeight="1">
      <c r="A152" s="331"/>
      <c r="B152" s="303">
        <v>15</v>
      </c>
      <c r="C152" s="9"/>
      <c r="D152" s="113" t="s">
        <v>152</v>
      </c>
      <c r="E152" s="8"/>
      <c r="F152" s="30"/>
      <c r="G152" s="47"/>
      <c r="H152" s="47"/>
      <c r="I152" s="304">
        <f>SUM(I153:I160)</f>
        <v>82095.69</v>
      </c>
      <c r="J152" s="16"/>
    </row>
    <row r="153" spans="1:10" ht="18" customHeight="1">
      <c r="A153" s="331"/>
      <c r="B153" s="302" t="s">
        <v>226</v>
      </c>
      <c r="C153" s="34" t="s">
        <v>154</v>
      </c>
      <c r="D153" s="35" t="s">
        <v>155</v>
      </c>
      <c r="E153" s="18" t="s">
        <v>27</v>
      </c>
      <c r="F153" s="14">
        <v>529.37</v>
      </c>
      <c r="G153" s="14">
        <v>12.72</v>
      </c>
      <c r="H153" s="87">
        <f>ROUND(G153+(G153*$I$9),2)</f>
        <v>16.72</v>
      </c>
      <c r="I153" s="90">
        <f>ROUND((F153*H153),2)</f>
        <v>8851.07</v>
      </c>
      <c r="J153" s="16"/>
    </row>
    <row r="154" spans="1:10" ht="25.5">
      <c r="A154" s="331"/>
      <c r="B154" s="302" t="s">
        <v>228</v>
      </c>
      <c r="C154" s="34">
        <v>88489</v>
      </c>
      <c r="D154" s="35" t="s">
        <v>157</v>
      </c>
      <c r="E154" s="18" t="s">
        <v>27</v>
      </c>
      <c r="F154" s="14">
        <v>445.04</v>
      </c>
      <c r="G154" s="15">
        <v>8.91</v>
      </c>
      <c r="H154" s="87">
        <f aca="true" t="shared" si="13" ref="H154:H160">ROUND(G154+(G154*$I$9),2)</f>
        <v>11.71</v>
      </c>
      <c r="I154" s="90">
        <f aca="true" t="shared" si="14" ref="I154:I160">ROUND((F154*H154),2)</f>
        <v>5211.42</v>
      </c>
      <c r="J154" s="16"/>
    </row>
    <row r="155" spans="1:10" ht="25.5">
      <c r="A155" s="331"/>
      <c r="B155" s="302" t="s">
        <v>230</v>
      </c>
      <c r="C155" s="34">
        <v>88486</v>
      </c>
      <c r="D155" s="35" t="s">
        <v>158</v>
      </c>
      <c r="E155" s="18" t="s">
        <v>27</v>
      </c>
      <c r="F155" s="14">
        <v>84.33</v>
      </c>
      <c r="G155" s="15">
        <v>7.87</v>
      </c>
      <c r="H155" s="87">
        <f t="shared" si="13"/>
        <v>10.35</v>
      </c>
      <c r="I155" s="90">
        <f t="shared" si="14"/>
        <v>872.82</v>
      </c>
      <c r="J155" s="16"/>
    </row>
    <row r="156" spans="1:10" ht="12.75">
      <c r="A156" s="331"/>
      <c r="B156" s="302" t="s">
        <v>232</v>
      </c>
      <c r="C156" s="34">
        <v>72815</v>
      </c>
      <c r="D156" s="35" t="s">
        <v>159</v>
      </c>
      <c r="E156" s="18" t="s">
        <v>27</v>
      </c>
      <c r="F156" s="14">
        <v>483.8</v>
      </c>
      <c r="G156" s="15">
        <v>40.77</v>
      </c>
      <c r="H156" s="87">
        <f t="shared" si="13"/>
        <v>53.6</v>
      </c>
      <c r="I156" s="90">
        <f t="shared" si="14"/>
        <v>25931.68</v>
      </c>
      <c r="J156" s="16"/>
    </row>
    <row r="157" spans="1:10" ht="25.5">
      <c r="A157" s="331"/>
      <c r="B157" s="302" t="s">
        <v>235</v>
      </c>
      <c r="C157" s="48">
        <v>41595</v>
      </c>
      <c r="D157" s="49" t="s">
        <v>160</v>
      </c>
      <c r="E157" s="18" t="s">
        <v>48</v>
      </c>
      <c r="F157" s="14">
        <v>275.6</v>
      </c>
      <c r="G157" s="15">
        <v>8.11</v>
      </c>
      <c r="H157" s="87">
        <f t="shared" si="13"/>
        <v>10.66</v>
      </c>
      <c r="I157" s="90">
        <f t="shared" si="14"/>
        <v>2937.9</v>
      </c>
      <c r="J157" s="16"/>
    </row>
    <row r="158" spans="1:10" ht="25.5">
      <c r="A158" s="331"/>
      <c r="B158" s="302" t="s">
        <v>238</v>
      </c>
      <c r="C158" s="36" t="s">
        <v>161</v>
      </c>
      <c r="D158" s="50" t="s">
        <v>162</v>
      </c>
      <c r="E158" s="18" t="s">
        <v>27</v>
      </c>
      <c r="F158" s="14">
        <v>366.82</v>
      </c>
      <c r="G158" s="15">
        <v>7.56</v>
      </c>
      <c r="H158" s="87">
        <f t="shared" si="13"/>
        <v>9.94</v>
      </c>
      <c r="I158" s="90">
        <f t="shared" si="14"/>
        <v>3646.19</v>
      </c>
      <c r="J158" s="16"/>
    </row>
    <row r="159" spans="1:10" ht="25.5">
      <c r="A159" s="331"/>
      <c r="B159" s="302" t="s">
        <v>240</v>
      </c>
      <c r="C159" s="36" t="s">
        <v>163</v>
      </c>
      <c r="D159" s="50" t="s">
        <v>164</v>
      </c>
      <c r="E159" s="18" t="s">
        <v>27</v>
      </c>
      <c r="F159" s="14">
        <v>567.82</v>
      </c>
      <c r="G159" s="15">
        <v>20.29</v>
      </c>
      <c r="H159" s="87">
        <f t="shared" si="13"/>
        <v>26.68</v>
      </c>
      <c r="I159" s="90">
        <f t="shared" si="14"/>
        <v>15149.44</v>
      </c>
      <c r="J159" s="16"/>
    </row>
    <row r="160" spans="1:10" ht="38.25">
      <c r="A160" s="331"/>
      <c r="B160" s="302" t="s">
        <v>242</v>
      </c>
      <c r="C160" s="36" t="s">
        <v>165</v>
      </c>
      <c r="D160" s="50" t="s">
        <v>166</v>
      </c>
      <c r="E160" s="18" t="s">
        <v>27</v>
      </c>
      <c r="F160" s="14">
        <v>1030.4</v>
      </c>
      <c r="G160" s="15">
        <v>14.39</v>
      </c>
      <c r="H160" s="87">
        <f t="shared" si="13"/>
        <v>18.92</v>
      </c>
      <c r="I160" s="90">
        <f t="shared" si="14"/>
        <v>19495.17</v>
      </c>
      <c r="J160" s="16"/>
    </row>
    <row r="161" spans="1:10" ht="23.25" customHeight="1">
      <c r="A161" s="331"/>
      <c r="B161" s="303">
        <v>16</v>
      </c>
      <c r="C161" s="9"/>
      <c r="D161" s="113" t="s">
        <v>167</v>
      </c>
      <c r="E161" s="8"/>
      <c r="F161" s="30"/>
      <c r="G161" s="32"/>
      <c r="H161" s="32"/>
      <c r="I161" s="304">
        <f>SUM(I162:I200)</f>
        <v>5688.34</v>
      </c>
      <c r="J161" s="16"/>
    </row>
    <row r="162" spans="1:10" ht="18" customHeight="1">
      <c r="A162" s="331"/>
      <c r="B162" s="321" t="s">
        <v>252</v>
      </c>
      <c r="C162" s="252"/>
      <c r="D162" s="253" t="s">
        <v>169</v>
      </c>
      <c r="E162" s="254"/>
      <c r="F162" s="169"/>
      <c r="G162" s="170"/>
      <c r="H162" s="170">
        <f>ROUND(G162+(G162*$I$9),2)</f>
        <v>0</v>
      </c>
      <c r="I162" s="309">
        <f>ROUND((F162*H162),2)</f>
        <v>0</v>
      </c>
      <c r="J162" s="16"/>
    </row>
    <row r="163" spans="1:10" ht="23.25" customHeight="1">
      <c r="A163" s="331"/>
      <c r="B163" s="316" t="s">
        <v>613</v>
      </c>
      <c r="C163" s="38">
        <v>89401</v>
      </c>
      <c r="D163" s="54" t="s">
        <v>524</v>
      </c>
      <c r="E163" s="38" t="s">
        <v>48</v>
      </c>
      <c r="F163" s="14">
        <v>12</v>
      </c>
      <c r="G163" s="15">
        <v>4.84</v>
      </c>
      <c r="H163" s="87">
        <f>ROUND(G163+(G163*$I$9),2)</f>
        <v>6.36</v>
      </c>
      <c r="I163" s="90">
        <f>ROUND((F163*H163),2)</f>
        <v>76.32</v>
      </c>
      <c r="J163" s="16"/>
    </row>
    <row r="164" spans="1:10" ht="21" customHeight="1">
      <c r="A164" s="331"/>
      <c r="B164" s="316" t="s">
        <v>614</v>
      </c>
      <c r="C164" s="38">
        <v>89446</v>
      </c>
      <c r="D164" s="54" t="s">
        <v>525</v>
      </c>
      <c r="E164" s="38" t="s">
        <v>48</v>
      </c>
      <c r="F164" s="14">
        <v>42</v>
      </c>
      <c r="G164" s="15">
        <v>2.99</v>
      </c>
      <c r="H164" s="87">
        <f aca="true" t="shared" si="15" ref="H164:H184">ROUND(G164+(G164*$I$9),2)</f>
        <v>3.93</v>
      </c>
      <c r="I164" s="90">
        <f aca="true" t="shared" si="16" ref="I164:I184">ROUND((F164*H164),2)</f>
        <v>165.06</v>
      </c>
      <c r="J164" s="16"/>
    </row>
    <row r="165" spans="1:10" ht="17.25" customHeight="1">
      <c r="A165" s="331"/>
      <c r="B165" s="316" t="s">
        <v>615</v>
      </c>
      <c r="C165" s="12">
        <v>89447</v>
      </c>
      <c r="D165" s="54" t="s">
        <v>526</v>
      </c>
      <c r="E165" s="38" t="s">
        <v>48</v>
      </c>
      <c r="F165" s="14">
        <v>28</v>
      </c>
      <c r="G165" s="15">
        <v>6</v>
      </c>
      <c r="H165" s="87">
        <f t="shared" si="15"/>
        <v>7.89</v>
      </c>
      <c r="I165" s="90">
        <f t="shared" si="16"/>
        <v>220.92</v>
      </c>
      <c r="J165" s="16"/>
    </row>
    <row r="166" spans="1:10" ht="18.75" customHeight="1">
      <c r="A166" s="331"/>
      <c r="B166" s="316" t="s">
        <v>616</v>
      </c>
      <c r="C166" s="38">
        <v>89448</v>
      </c>
      <c r="D166" s="54" t="s">
        <v>527</v>
      </c>
      <c r="E166" s="38" t="s">
        <v>48</v>
      </c>
      <c r="F166" s="14">
        <v>30</v>
      </c>
      <c r="G166" s="15">
        <v>8.61</v>
      </c>
      <c r="H166" s="87">
        <f t="shared" si="15"/>
        <v>11.32</v>
      </c>
      <c r="I166" s="90">
        <f t="shared" si="16"/>
        <v>339.6</v>
      </c>
      <c r="J166" s="16"/>
    </row>
    <row r="167" spans="1:10" ht="18.75" customHeight="1">
      <c r="A167" s="331"/>
      <c r="B167" s="316" t="s">
        <v>617</v>
      </c>
      <c r="C167" s="38">
        <v>89449</v>
      </c>
      <c r="D167" s="54" t="s">
        <v>528</v>
      </c>
      <c r="E167" s="38" t="s">
        <v>48</v>
      </c>
      <c r="F167" s="14">
        <v>36</v>
      </c>
      <c r="G167" s="15">
        <v>10.65</v>
      </c>
      <c r="H167" s="87">
        <f t="shared" si="15"/>
        <v>14</v>
      </c>
      <c r="I167" s="90">
        <f t="shared" si="16"/>
        <v>504</v>
      </c>
      <c r="J167" s="16"/>
    </row>
    <row r="168" spans="1:10" ht="18.75" customHeight="1">
      <c r="A168" s="331"/>
      <c r="B168" s="316" t="s">
        <v>618</v>
      </c>
      <c r="C168" s="38">
        <v>89408</v>
      </c>
      <c r="D168" s="35" t="s">
        <v>529</v>
      </c>
      <c r="E168" s="12" t="s">
        <v>31</v>
      </c>
      <c r="F168" s="14">
        <v>15</v>
      </c>
      <c r="G168" s="15">
        <v>3.89</v>
      </c>
      <c r="H168" s="87">
        <f t="shared" si="15"/>
        <v>5.11</v>
      </c>
      <c r="I168" s="90">
        <f t="shared" si="16"/>
        <v>76.65</v>
      </c>
      <c r="J168" s="16"/>
    </row>
    <row r="169" spans="1:10" ht="19.5" customHeight="1">
      <c r="A169" s="331"/>
      <c r="B169" s="316" t="s">
        <v>619</v>
      </c>
      <c r="C169" s="38">
        <v>89492</v>
      </c>
      <c r="D169" s="35" t="s">
        <v>530</v>
      </c>
      <c r="E169" s="12" t="s">
        <v>31</v>
      </c>
      <c r="F169" s="14">
        <v>8</v>
      </c>
      <c r="G169" s="15">
        <v>4.42</v>
      </c>
      <c r="H169" s="87">
        <f t="shared" si="15"/>
        <v>5.81</v>
      </c>
      <c r="I169" s="90">
        <f t="shared" si="16"/>
        <v>46.48</v>
      </c>
      <c r="J169" s="16"/>
    </row>
    <row r="170" spans="1:10" ht="34.5" customHeight="1">
      <c r="A170" s="331"/>
      <c r="B170" s="316" t="s">
        <v>620</v>
      </c>
      <c r="C170" s="38">
        <v>89501</v>
      </c>
      <c r="D170" s="35" t="s">
        <v>170</v>
      </c>
      <c r="E170" s="12" t="s">
        <v>31</v>
      </c>
      <c r="F170" s="14">
        <v>6</v>
      </c>
      <c r="G170" s="15">
        <v>8.7</v>
      </c>
      <c r="H170" s="87">
        <f t="shared" si="15"/>
        <v>11.44</v>
      </c>
      <c r="I170" s="90">
        <f t="shared" si="16"/>
        <v>68.64</v>
      </c>
      <c r="J170" s="16"/>
    </row>
    <row r="171" spans="1:10" ht="19.5" customHeight="1">
      <c r="A171" s="331"/>
      <c r="B171" s="316" t="s">
        <v>621</v>
      </c>
      <c r="C171" s="12" t="s">
        <v>114</v>
      </c>
      <c r="D171" s="35" t="s">
        <v>470</v>
      </c>
      <c r="E171" s="12" t="s">
        <v>31</v>
      </c>
      <c r="F171" s="14">
        <v>2</v>
      </c>
      <c r="G171" s="15">
        <v>4.2</v>
      </c>
      <c r="H171" s="87">
        <f t="shared" si="15"/>
        <v>5.52</v>
      </c>
      <c r="I171" s="90">
        <f t="shared" si="16"/>
        <v>11.04</v>
      </c>
      <c r="J171" s="16"/>
    </row>
    <row r="172" spans="1:10" ht="22.5" customHeight="1">
      <c r="A172" s="331"/>
      <c r="B172" s="316" t="s">
        <v>622</v>
      </c>
      <c r="C172" s="12" t="s">
        <v>114</v>
      </c>
      <c r="D172" s="35" t="s">
        <v>471</v>
      </c>
      <c r="E172" s="12" t="s">
        <v>31</v>
      </c>
      <c r="F172" s="14">
        <v>2</v>
      </c>
      <c r="G172" s="15">
        <v>4.2</v>
      </c>
      <c r="H172" s="87">
        <f t="shared" si="15"/>
        <v>5.52</v>
      </c>
      <c r="I172" s="90">
        <f t="shared" si="16"/>
        <v>11.04</v>
      </c>
      <c r="J172" s="16"/>
    </row>
    <row r="173" spans="1:10" ht="21" customHeight="1">
      <c r="A173" s="331"/>
      <c r="B173" s="316" t="s">
        <v>623</v>
      </c>
      <c r="C173" s="12" t="s">
        <v>114</v>
      </c>
      <c r="D173" s="35" t="s">
        <v>472</v>
      </c>
      <c r="E173" s="12" t="s">
        <v>31</v>
      </c>
      <c r="F173" s="14">
        <v>4</v>
      </c>
      <c r="G173" s="15">
        <v>2.3</v>
      </c>
      <c r="H173" s="87">
        <f t="shared" si="15"/>
        <v>3.02</v>
      </c>
      <c r="I173" s="90">
        <f t="shared" si="16"/>
        <v>12.08</v>
      </c>
      <c r="J173" s="16"/>
    </row>
    <row r="174" spans="1:10" ht="38.25">
      <c r="A174" s="331"/>
      <c r="B174" s="316" t="s">
        <v>624</v>
      </c>
      <c r="C174" s="38">
        <v>90373</v>
      </c>
      <c r="D174" s="35" t="s">
        <v>171</v>
      </c>
      <c r="E174" s="38" t="s">
        <v>31</v>
      </c>
      <c r="F174" s="14">
        <v>16</v>
      </c>
      <c r="G174" s="15">
        <v>9.32</v>
      </c>
      <c r="H174" s="87">
        <f t="shared" si="15"/>
        <v>12.25</v>
      </c>
      <c r="I174" s="90">
        <f t="shared" si="16"/>
        <v>196</v>
      </c>
      <c r="J174" s="16"/>
    </row>
    <row r="175" spans="1:10" ht="25.5">
      <c r="A175" s="346"/>
      <c r="B175" s="316" t="s">
        <v>625</v>
      </c>
      <c r="C175" s="38">
        <v>89622</v>
      </c>
      <c r="D175" s="35" t="s">
        <v>172</v>
      </c>
      <c r="E175" s="38" t="s">
        <v>31</v>
      </c>
      <c r="F175" s="14">
        <v>4</v>
      </c>
      <c r="G175" s="15">
        <v>8.4</v>
      </c>
      <c r="H175" s="87">
        <f t="shared" si="15"/>
        <v>11.04</v>
      </c>
      <c r="I175" s="90">
        <f t="shared" si="16"/>
        <v>44.16</v>
      </c>
      <c r="J175" s="16"/>
    </row>
    <row r="176" spans="1:10" ht="25.5">
      <c r="A176" s="346"/>
      <c r="B176" s="316" t="s">
        <v>626</v>
      </c>
      <c r="C176" s="38">
        <v>89626</v>
      </c>
      <c r="D176" s="35" t="s">
        <v>173</v>
      </c>
      <c r="E176" s="38" t="s">
        <v>31</v>
      </c>
      <c r="F176" s="14">
        <v>2</v>
      </c>
      <c r="G176" s="15">
        <v>16.65</v>
      </c>
      <c r="H176" s="87">
        <f t="shared" si="15"/>
        <v>21.89</v>
      </c>
      <c r="I176" s="90">
        <f t="shared" si="16"/>
        <v>43.78</v>
      </c>
      <c r="J176" s="16"/>
    </row>
    <row r="177" spans="1:10" ht="27.75" customHeight="1">
      <c r="A177" s="346"/>
      <c r="B177" s="316" t="s">
        <v>627</v>
      </c>
      <c r="C177" s="12">
        <v>89534</v>
      </c>
      <c r="D177" s="54" t="s">
        <v>174</v>
      </c>
      <c r="E177" s="38" t="s">
        <v>31</v>
      </c>
      <c r="F177" s="14">
        <v>8</v>
      </c>
      <c r="G177" s="15">
        <v>2.63</v>
      </c>
      <c r="H177" s="87">
        <f t="shared" si="15"/>
        <v>3.46</v>
      </c>
      <c r="I177" s="90">
        <f t="shared" si="16"/>
        <v>27.68</v>
      </c>
      <c r="J177" s="16"/>
    </row>
    <row r="178" spans="1:10" ht="25.5">
      <c r="A178" s="331"/>
      <c r="B178" s="316" t="s">
        <v>628</v>
      </c>
      <c r="C178" s="12">
        <v>89386</v>
      </c>
      <c r="D178" s="54" t="s">
        <v>175</v>
      </c>
      <c r="E178" s="38" t="s">
        <v>31</v>
      </c>
      <c r="F178" s="14">
        <v>4</v>
      </c>
      <c r="G178" s="15">
        <v>5.43</v>
      </c>
      <c r="H178" s="87">
        <f t="shared" si="15"/>
        <v>7.14</v>
      </c>
      <c r="I178" s="90">
        <f t="shared" si="16"/>
        <v>28.56</v>
      </c>
      <c r="J178" s="16"/>
    </row>
    <row r="179" spans="1:10" ht="42" customHeight="1">
      <c r="A179" s="331"/>
      <c r="B179" s="316" t="s">
        <v>629</v>
      </c>
      <c r="C179" s="12">
        <v>89433</v>
      </c>
      <c r="D179" s="54" t="s">
        <v>176</v>
      </c>
      <c r="E179" s="38" t="s">
        <v>31</v>
      </c>
      <c r="F179" s="14">
        <v>4</v>
      </c>
      <c r="G179" s="15">
        <v>5.11</v>
      </c>
      <c r="H179" s="87">
        <f t="shared" si="15"/>
        <v>6.72</v>
      </c>
      <c r="I179" s="90">
        <f t="shared" si="16"/>
        <v>26.88</v>
      </c>
      <c r="J179" s="16"/>
    </row>
    <row r="180" spans="1:10" ht="21.75" customHeight="1">
      <c r="A180" s="331"/>
      <c r="B180" s="316" t="s">
        <v>630</v>
      </c>
      <c r="C180" s="12" t="s">
        <v>114</v>
      </c>
      <c r="D180" s="35" t="s">
        <v>473</v>
      </c>
      <c r="E180" s="12" t="s">
        <v>31</v>
      </c>
      <c r="F180" s="14">
        <v>2</v>
      </c>
      <c r="G180" s="15">
        <v>5.95</v>
      </c>
      <c r="H180" s="87">
        <f t="shared" si="15"/>
        <v>7.82</v>
      </c>
      <c r="I180" s="90">
        <f t="shared" si="16"/>
        <v>15.64</v>
      </c>
      <c r="J180" s="16"/>
    </row>
    <row r="181" spans="1:10" ht="22.5" customHeight="1">
      <c r="A181" s="331"/>
      <c r="B181" s="316" t="s">
        <v>631</v>
      </c>
      <c r="C181" s="12" t="s">
        <v>114</v>
      </c>
      <c r="D181" s="35" t="s">
        <v>474</v>
      </c>
      <c r="E181" s="12" t="s">
        <v>31</v>
      </c>
      <c r="F181" s="14">
        <v>2</v>
      </c>
      <c r="G181" s="15">
        <v>2.45</v>
      </c>
      <c r="H181" s="87">
        <f t="shared" si="15"/>
        <v>3.22</v>
      </c>
      <c r="I181" s="90">
        <f t="shared" si="16"/>
        <v>6.44</v>
      </c>
      <c r="J181" s="16"/>
    </row>
    <row r="182" spans="1:10" ht="30" customHeight="1">
      <c r="A182" s="331"/>
      <c r="B182" s="316" t="s">
        <v>632</v>
      </c>
      <c r="C182" s="12" t="s">
        <v>114</v>
      </c>
      <c r="D182" s="35" t="s">
        <v>475</v>
      </c>
      <c r="E182" s="12" t="s">
        <v>31</v>
      </c>
      <c r="F182" s="14">
        <v>4</v>
      </c>
      <c r="G182" s="15">
        <v>2.7</v>
      </c>
      <c r="H182" s="87">
        <f t="shared" si="15"/>
        <v>3.55</v>
      </c>
      <c r="I182" s="90">
        <f t="shared" si="16"/>
        <v>14.2</v>
      </c>
      <c r="J182" s="16"/>
    </row>
    <row r="183" spans="1:10" ht="25.5">
      <c r="A183" s="331"/>
      <c r="B183" s="316" t="s">
        <v>633</v>
      </c>
      <c r="C183" s="38">
        <v>89375</v>
      </c>
      <c r="D183" s="35" t="s">
        <v>177</v>
      </c>
      <c r="E183" s="38" t="s">
        <v>31</v>
      </c>
      <c r="F183" s="14">
        <v>6</v>
      </c>
      <c r="G183" s="15">
        <v>8.13</v>
      </c>
      <c r="H183" s="87">
        <f t="shared" si="15"/>
        <v>10.69</v>
      </c>
      <c r="I183" s="90">
        <f t="shared" si="16"/>
        <v>64.14</v>
      </c>
      <c r="J183" s="16"/>
    </row>
    <row r="184" spans="1:10" ht="25.5">
      <c r="A184" s="331"/>
      <c r="B184" s="316" t="s">
        <v>634</v>
      </c>
      <c r="C184" s="38">
        <v>89594</v>
      </c>
      <c r="D184" s="35" t="s">
        <v>178</v>
      </c>
      <c r="E184" s="38" t="s">
        <v>31</v>
      </c>
      <c r="F184" s="14">
        <v>2</v>
      </c>
      <c r="G184" s="15">
        <v>26.75</v>
      </c>
      <c r="H184" s="87">
        <f t="shared" si="15"/>
        <v>35.17</v>
      </c>
      <c r="I184" s="90">
        <f t="shared" si="16"/>
        <v>70.34</v>
      </c>
      <c r="J184" s="16"/>
    </row>
    <row r="185" spans="1:10" ht="18" customHeight="1">
      <c r="A185" s="331"/>
      <c r="B185" s="321" t="s">
        <v>255</v>
      </c>
      <c r="C185" s="254"/>
      <c r="D185" s="168" t="s">
        <v>180</v>
      </c>
      <c r="E185" s="255"/>
      <c r="F185" s="169"/>
      <c r="G185" s="170"/>
      <c r="H185" s="170">
        <f>ROUND(G185+(G185*$I$9),2)</f>
        <v>0</v>
      </c>
      <c r="I185" s="309"/>
      <c r="J185" s="16"/>
    </row>
    <row r="186" spans="1:10" ht="25.5">
      <c r="A186" s="331"/>
      <c r="B186" s="316" t="s">
        <v>635</v>
      </c>
      <c r="C186" s="38">
        <v>89353</v>
      </c>
      <c r="D186" s="54" t="s">
        <v>181</v>
      </c>
      <c r="E186" s="38" t="s">
        <v>31</v>
      </c>
      <c r="F186" s="14">
        <v>1</v>
      </c>
      <c r="G186" s="15">
        <v>22.77</v>
      </c>
      <c r="H186" s="87">
        <f>ROUND(G186+(G186*$I$9),2)</f>
        <v>29.94</v>
      </c>
      <c r="I186" s="90">
        <f>ROUND((F186*H186),2)</f>
        <v>29.94</v>
      </c>
      <c r="J186" s="16"/>
    </row>
    <row r="187" spans="1:10" ht="51">
      <c r="A187" s="331"/>
      <c r="B187" s="316" t="s">
        <v>635</v>
      </c>
      <c r="C187" s="12" t="s">
        <v>182</v>
      </c>
      <c r="D187" s="54" t="s">
        <v>183</v>
      </c>
      <c r="E187" s="38" t="s">
        <v>31</v>
      </c>
      <c r="F187" s="14">
        <v>2</v>
      </c>
      <c r="G187" s="15">
        <v>69.09</v>
      </c>
      <c r="H187" s="87">
        <f aca="true" t="shared" si="17" ref="H187:H200">ROUND(G187+(G187*$I$9),2)</f>
        <v>90.84</v>
      </c>
      <c r="I187" s="90">
        <f aca="true" t="shared" si="18" ref="I187:I200">ROUND((F187*H187),2)</f>
        <v>181.68</v>
      </c>
      <c r="J187" s="16"/>
    </row>
    <row r="188" spans="1:10" ht="63.75">
      <c r="A188" s="331"/>
      <c r="B188" s="316" t="s">
        <v>635</v>
      </c>
      <c r="C188" s="12">
        <v>94794</v>
      </c>
      <c r="D188" s="54" t="s">
        <v>469</v>
      </c>
      <c r="E188" s="38" t="s">
        <v>31</v>
      </c>
      <c r="F188" s="14">
        <v>2</v>
      </c>
      <c r="G188" s="15">
        <v>96.12</v>
      </c>
      <c r="H188" s="87">
        <f t="shared" si="17"/>
        <v>126.38</v>
      </c>
      <c r="I188" s="90">
        <f t="shared" si="18"/>
        <v>252.76</v>
      </c>
      <c r="J188" s="16"/>
    </row>
    <row r="189" spans="1:10" ht="25.5">
      <c r="A189" s="331"/>
      <c r="B189" s="316" t="s">
        <v>635</v>
      </c>
      <c r="C189" s="12" t="s">
        <v>184</v>
      </c>
      <c r="D189" s="54" t="s">
        <v>185</v>
      </c>
      <c r="E189" s="38" t="s">
        <v>31</v>
      </c>
      <c r="F189" s="14">
        <v>2</v>
      </c>
      <c r="G189" s="15">
        <v>85.82</v>
      </c>
      <c r="H189" s="87">
        <f t="shared" si="17"/>
        <v>112.84</v>
      </c>
      <c r="I189" s="90">
        <f t="shared" si="18"/>
        <v>225.68</v>
      </c>
      <c r="J189" s="16"/>
    </row>
    <row r="190" spans="1:10" ht="25.5">
      <c r="A190" s="331"/>
      <c r="B190" s="316" t="s">
        <v>635</v>
      </c>
      <c r="C190" s="12" t="s">
        <v>186</v>
      </c>
      <c r="D190" s="54" t="s">
        <v>187</v>
      </c>
      <c r="E190" s="38" t="s">
        <v>31</v>
      </c>
      <c r="F190" s="14">
        <v>2</v>
      </c>
      <c r="G190" s="15">
        <v>59.49</v>
      </c>
      <c r="H190" s="87">
        <f t="shared" si="17"/>
        <v>78.22</v>
      </c>
      <c r="I190" s="90">
        <f t="shared" si="18"/>
        <v>156.44</v>
      </c>
      <c r="J190" s="16"/>
    </row>
    <row r="191" spans="1:10" ht="38.25">
      <c r="A191" s="331"/>
      <c r="B191" s="316" t="s">
        <v>635</v>
      </c>
      <c r="C191" s="12">
        <v>89987</v>
      </c>
      <c r="D191" s="54" t="s">
        <v>406</v>
      </c>
      <c r="E191" s="38" t="s">
        <v>31</v>
      </c>
      <c r="F191" s="14">
        <v>2</v>
      </c>
      <c r="G191" s="15">
        <v>48.77</v>
      </c>
      <c r="H191" s="87">
        <f t="shared" si="17"/>
        <v>64.12</v>
      </c>
      <c r="I191" s="90">
        <f t="shared" si="18"/>
        <v>128.24</v>
      </c>
      <c r="J191" s="16"/>
    </row>
    <row r="192" spans="1:10" ht="38.25">
      <c r="A192" s="331"/>
      <c r="B192" s="316" t="s">
        <v>635</v>
      </c>
      <c r="C192" s="12">
        <v>89985</v>
      </c>
      <c r="D192" s="54" t="s">
        <v>188</v>
      </c>
      <c r="E192" s="38" t="s">
        <v>31</v>
      </c>
      <c r="F192" s="14">
        <v>8</v>
      </c>
      <c r="G192" s="15">
        <v>46.46</v>
      </c>
      <c r="H192" s="87">
        <f t="shared" si="17"/>
        <v>61.09</v>
      </c>
      <c r="I192" s="90">
        <f t="shared" si="18"/>
        <v>488.72</v>
      </c>
      <c r="J192" s="16"/>
    </row>
    <row r="193" spans="1:10" ht="25.5">
      <c r="A193" s="331"/>
      <c r="B193" s="316" t="s">
        <v>635</v>
      </c>
      <c r="C193" s="12">
        <v>89538</v>
      </c>
      <c r="D193" s="35" t="s">
        <v>189</v>
      </c>
      <c r="E193" s="38" t="s">
        <v>31</v>
      </c>
      <c r="F193" s="14">
        <v>12</v>
      </c>
      <c r="G193" s="15">
        <v>2.61</v>
      </c>
      <c r="H193" s="87">
        <f t="shared" si="17"/>
        <v>3.43</v>
      </c>
      <c r="I193" s="90">
        <f t="shared" si="18"/>
        <v>41.16</v>
      </c>
      <c r="J193" s="16"/>
    </row>
    <row r="194" spans="1:10" ht="25.5">
      <c r="A194" s="331"/>
      <c r="B194" s="316" t="s">
        <v>635</v>
      </c>
      <c r="C194" s="12">
        <v>89553</v>
      </c>
      <c r="D194" s="35" t="s">
        <v>190</v>
      </c>
      <c r="E194" s="38" t="s">
        <v>31</v>
      </c>
      <c r="F194" s="14">
        <v>4</v>
      </c>
      <c r="G194" s="15">
        <v>3.88</v>
      </c>
      <c r="H194" s="87">
        <f t="shared" si="17"/>
        <v>5.1</v>
      </c>
      <c r="I194" s="90">
        <f t="shared" si="18"/>
        <v>20.4</v>
      </c>
      <c r="J194" s="16"/>
    </row>
    <row r="195" spans="1:10" ht="38.25">
      <c r="A195" s="331"/>
      <c r="B195" s="316" t="s">
        <v>635</v>
      </c>
      <c r="C195" s="12">
        <v>89570</v>
      </c>
      <c r="D195" s="35" t="s">
        <v>191</v>
      </c>
      <c r="E195" s="38" t="s">
        <v>31</v>
      </c>
      <c r="F195" s="14">
        <v>4</v>
      </c>
      <c r="G195" s="15">
        <v>6.6</v>
      </c>
      <c r="H195" s="87">
        <f t="shared" si="17"/>
        <v>8.68</v>
      </c>
      <c r="I195" s="90">
        <f t="shared" si="18"/>
        <v>34.72</v>
      </c>
      <c r="J195" s="16"/>
    </row>
    <row r="196" spans="1:10" ht="38.25">
      <c r="A196" s="331"/>
      <c r="B196" s="316" t="s">
        <v>635</v>
      </c>
      <c r="C196" s="12">
        <v>89596</v>
      </c>
      <c r="D196" s="35" t="s">
        <v>192</v>
      </c>
      <c r="E196" s="38" t="s">
        <v>31</v>
      </c>
      <c r="F196" s="14">
        <v>4</v>
      </c>
      <c r="G196" s="15">
        <v>7.33</v>
      </c>
      <c r="H196" s="87">
        <f t="shared" si="17"/>
        <v>9.64</v>
      </c>
      <c r="I196" s="90">
        <f t="shared" si="18"/>
        <v>38.56</v>
      </c>
      <c r="J196" s="16"/>
    </row>
    <row r="197" spans="1:10" ht="30" customHeight="1">
      <c r="A197" s="331"/>
      <c r="B197" s="316" t="s">
        <v>635</v>
      </c>
      <c r="C197" s="12">
        <v>86884</v>
      </c>
      <c r="D197" s="54" t="s">
        <v>193</v>
      </c>
      <c r="E197" s="38" t="s">
        <v>31</v>
      </c>
      <c r="F197" s="14">
        <v>10</v>
      </c>
      <c r="G197" s="15">
        <v>6.68</v>
      </c>
      <c r="H197" s="87">
        <f t="shared" si="17"/>
        <v>8.78</v>
      </c>
      <c r="I197" s="90">
        <f t="shared" si="18"/>
        <v>87.8</v>
      </c>
      <c r="J197" s="16"/>
    </row>
    <row r="198" spans="1:10" ht="51">
      <c r="A198" s="331"/>
      <c r="B198" s="316" t="s">
        <v>635</v>
      </c>
      <c r="C198" s="12">
        <v>72789</v>
      </c>
      <c r="D198" s="35" t="s">
        <v>194</v>
      </c>
      <c r="E198" s="38" t="s">
        <v>31</v>
      </c>
      <c r="F198" s="14">
        <v>3</v>
      </c>
      <c r="G198" s="15">
        <v>17.85</v>
      </c>
      <c r="H198" s="87">
        <f t="shared" si="17"/>
        <v>23.47</v>
      </c>
      <c r="I198" s="90">
        <f t="shared" si="18"/>
        <v>70.41</v>
      </c>
      <c r="J198" s="16"/>
    </row>
    <row r="199" spans="1:10" ht="51">
      <c r="A199" s="331"/>
      <c r="B199" s="316" t="s">
        <v>635</v>
      </c>
      <c r="C199" s="12">
        <v>72792</v>
      </c>
      <c r="D199" s="35" t="s">
        <v>195</v>
      </c>
      <c r="E199" s="38" t="s">
        <v>31</v>
      </c>
      <c r="F199" s="14">
        <v>2</v>
      </c>
      <c r="G199" s="15">
        <v>40.05</v>
      </c>
      <c r="H199" s="87">
        <f t="shared" si="17"/>
        <v>52.66</v>
      </c>
      <c r="I199" s="90">
        <f t="shared" si="18"/>
        <v>105.32</v>
      </c>
      <c r="J199" s="16"/>
    </row>
    <row r="200" spans="1:10" ht="23.25" customHeight="1">
      <c r="A200" s="331"/>
      <c r="B200" s="316" t="s">
        <v>635</v>
      </c>
      <c r="C200" s="12" t="s">
        <v>196</v>
      </c>
      <c r="D200" s="35" t="s">
        <v>197</v>
      </c>
      <c r="E200" s="12" t="s">
        <v>31</v>
      </c>
      <c r="F200" s="14">
        <v>2</v>
      </c>
      <c r="G200" s="15">
        <v>668.11</v>
      </c>
      <c r="H200" s="87">
        <f t="shared" si="17"/>
        <v>878.43</v>
      </c>
      <c r="I200" s="90">
        <f t="shared" si="18"/>
        <v>1756.86</v>
      </c>
      <c r="J200" s="16"/>
    </row>
    <row r="201" spans="1:10" ht="24.75" customHeight="1">
      <c r="A201" s="331"/>
      <c r="B201" s="303">
        <v>17</v>
      </c>
      <c r="C201" s="9"/>
      <c r="D201" s="113" t="s">
        <v>198</v>
      </c>
      <c r="E201" s="8"/>
      <c r="F201" s="30"/>
      <c r="G201" s="44"/>
      <c r="H201" s="44"/>
      <c r="I201" s="304">
        <f>SUM(I202:I222)</f>
        <v>9886.500000000002</v>
      </c>
      <c r="J201" s="16"/>
    </row>
    <row r="202" spans="1:10" ht="12.75">
      <c r="A202" s="331"/>
      <c r="B202" s="321" t="s">
        <v>263</v>
      </c>
      <c r="C202" s="252"/>
      <c r="D202" s="253" t="s">
        <v>169</v>
      </c>
      <c r="E202" s="254"/>
      <c r="F202" s="169"/>
      <c r="G202" s="170"/>
      <c r="H202" s="170">
        <f>ROUND(G202+(G202*$I$9),2)</f>
        <v>0</v>
      </c>
      <c r="I202" s="309">
        <f>ROUND((F202*H202),2)</f>
        <v>0</v>
      </c>
      <c r="J202" s="16"/>
    </row>
    <row r="203" spans="1:10" ht="38.25">
      <c r="A203" s="331"/>
      <c r="B203" s="316" t="s">
        <v>265</v>
      </c>
      <c r="C203" s="38">
        <v>89711</v>
      </c>
      <c r="D203" s="54" t="s">
        <v>200</v>
      </c>
      <c r="E203" s="38" t="s">
        <v>48</v>
      </c>
      <c r="F203" s="14">
        <v>47.5</v>
      </c>
      <c r="G203" s="15">
        <v>12.44</v>
      </c>
      <c r="H203" s="87">
        <f>ROUND(G203+(G203*$I$9),2)</f>
        <v>16.36</v>
      </c>
      <c r="I203" s="90">
        <f>ROUND((F203*H203),2)</f>
        <v>777.1</v>
      </c>
      <c r="J203" s="16"/>
    </row>
    <row r="204" spans="1:10" ht="38.25">
      <c r="A204" s="331"/>
      <c r="B204" s="316" t="s">
        <v>267</v>
      </c>
      <c r="C204" s="38">
        <v>89712</v>
      </c>
      <c r="D204" s="54" t="s">
        <v>201</v>
      </c>
      <c r="E204" s="38" t="s">
        <v>48</v>
      </c>
      <c r="F204" s="14">
        <v>21.5</v>
      </c>
      <c r="G204" s="15">
        <v>18.31</v>
      </c>
      <c r="H204" s="87">
        <f aca="true" t="shared" si="19" ref="H204:H213">ROUND(G204+(G204*$I$9),2)</f>
        <v>24.07</v>
      </c>
      <c r="I204" s="90">
        <f aca="true" t="shared" si="20" ref="I204:I213">ROUND((F204*H204),2)</f>
        <v>517.51</v>
      </c>
      <c r="J204" s="16"/>
    </row>
    <row r="205" spans="1:10" ht="38.25">
      <c r="A205" s="331"/>
      <c r="B205" s="316" t="s">
        <v>270</v>
      </c>
      <c r="C205" s="38">
        <v>89714</v>
      </c>
      <c r="D205" s="54" t="s">
        <v>202</v>
      </c>
      <c r="E205" s="38" t="s">
        <v>48</v>
      </c>
      <c r="F205" s="14">
        <v>36</v>
      </c>
      <c r="G205" s="15">
        <v>35.12</v>
      </c>
      <c r="H205" s="87">
        <f t="shared" si="19"/>
        <v>46.18</v>
      </c>
      <c r="I205" s="90">
        <f t="shared" si="20"/>
        <v>1662.48</v>
      </c>
      <c r="J205" s="16"/>
    </row>
    <row r="206" spans="1:10" ht="51">
      <c r="A206" s="331"/>
      <c r="B206" s="316" t="s">
        <v>271</v>
      </c>
      <c r="C206" s="38">
        <v>89726</v>
      </c>
      <c r="D206" s="54" t="s">
        <v>203</v>
      </c>
      <c r="E206" s="38" t="s">
        <v>31</v>
      </c>
      <c r="F206" s="14">
        <v>7</v>
      </c>
      <c r="G206" s="15">
        <v>5.82</v>
      </c>
      <c r="H206" s="87">
        <f t="shared" si="19"/>
        <v>7.65</v>
      </c>
      <c r="I206" s="90">
        <f t="shared" si="20"/>
        <v>53.55</v>
      </c>
      <c r="J206" s="16"/>
    </row>
    <row r="207" spans="1:10" ht="51">
      <c r="A207" s="331"/>
      <c r="B207" s="316" t="s">
        <v>274</v>
      </c>
      <c r="C207" s="38">
        <v>89744</v>
      </c>
      <c r="D207" s="54" t="s">
        <v>204</v>
      </c>
      <c r="E207" s="38" t="s">
        <v>31</v>
      </c>
      <c r="F207" s="14">
        <v>6</v>
      </c>
      <c r="G207" s="15">
        <v>15.31</v>
      </c>
      <c r="H207" s="87">
        <f t="shared" si="19"/>
        <v>20.13</v>
      </c>
      <c r="I207" s="90">
        <f t="shared" si="20"/>
        <v>120.78</v>
      </c>
      <c r="J207" s="16"/>
    </row>
    <row r="208" spans="1:10" ht="12.75">
      <c r="A208" s="331"/>
      <c r="B208" s="316" t="s">
        <v>275</v>
      </c>
      <c r="C208" s="12" t="s">
        <v>114</v>
      </c>
      <c r="D208" s="35" t="s">
        <v>476</v>
      </c>
      <c r="E208" s="12" t="s">
        <v>31</v>
      </c>
      <c r="F208" s="14">
        <v>10</v>
      </c>
      <c r="G208" s="15">
        <v>2.95</v>
      </c>
      <c r="H208" s="87">
        <f t="shared" si="19"/>
        <v>3.88</v>
      </c>
      <c r="I208" s="90">
        <f t="shared" si="20"/>
        <v>38.8</v>
      </c>
      <c r="J208" s="16"/>
    </row>
    <row r="209" spans="1:10" ht="19.5" customHeight="1">
      <c r="A209" s="331"/>
      <c r="B209" s="316" t="s">
        <v>276</v>
      </c>
      <c r="C209" s="12" t="s">
        <v>114</v>
      </c>
      <c r="D209" s="35" t="s">
        <v>478</v>
      </c>
      <c r="E209" s="12" t="s">
        <v>31</v>
      </c>
      <c r="F209" s="14">
        <v>6</v>
      </c>
      <c r="G209" s="15">
        <v>8.1</v>
      </c>
      <c r="H209" s="87">
        <f t="shared" si="19"/>
        <v>10.65</v>
      </c>
      <c r="I209" s="90">
        <f t="shared" si="20"/>
        <v>63.9</v>
      </c>
      <c r="J209" s="16"/>
    </row>
    <row r="210" spans="1:10" ht="12.75">
      <c r="A210" s="331"/>
      <c r="B210" s="316" t="s">
        <v>279</v>
      </c>
      <c r="C210" s="12" t="s">
        <v>114</v>
      </c>
      <c r="D210" s="35" t="s">
        <v>477</v>
      </c>
      <c r="E210" s="12" t="s">
        <v>31</v>
      </c>
      <c r="F210" s="14">
        <v>5</v>
      </c>
      <c r="G210" s="15">
        <v>11.7</v>
      </c>
      <c r="H210" s="87">
        <f t="shared" si="19"/>
        <v>15.38</v>
      </c>
      <c r="I210" s="90">
        <f t="shared" si="20"/>
        <v>76.9</v>
      </c>
      <c r="J210" s="16"/>
    </row>
    <row r="211" spans="1:10" ht="38.25">
      <c r="A211" s="331"/>
      <c r="B211" s="316" t="s">
        <v>282</v>
      </c>
      <c r="C211" s="12">
        <v>89797</v>
      </c>
      <c r="D211" s="54" t="s">
        <v>205</v>
      </c>
      <c r="E211" s="38" t="s">
        <v>31</v>
      </c>
      <c r="F211" s="14">
        <v>5</v>
      </c>
      <c r="G211" s="15">
        <v>28.99</v>
      </c>
      <c r="H211" s="87">
        <f t="shared" si="19"/>
        <v>38.12</v>
      </c>
      <c r="I211" s="90">
        <f t="shared" si="20"/>
        <v>190.6</v>
      </c>
      <c r="J211" s="16"/>
    </row>
    <row r="212" spans="1:10" ht="38.25">
      <c r="A212" s="331"/>
      <c r="B212" s="316" t="s">
        <v>636</v>
      </c>
      <c r="C212" s="38">
        <v>89851</v>
      </c>
      <c r="D212" s="54" t="s">
        <v>206</v>
      </c>
      <c r="E212" s="38" t="s">
        <v>31</v>
      </c>
      <c r="F212" s="14">
        <v>1</v>
      </c>
      <c r="G212" s="15">
        <v>15.06</v>
      </c>
      <c r="H212" s="87">
        <f t="shared" si="19"/>
        <v>19.8</v>
      </c>
      <c r="I212" s="90">
        <f t="shared" si="20"/>
        <v>19.8</v>
      </c>
      <c r="J212" s="16"/>
    </row>
    <row r="213" spans="1:10" ht="38.25">
      <c r="A213" s="331"/>
      <c r="B213" s="316" t="s">
        <v>637</v>
      </c>
      <c r="C213" s="38">
        <v>89728</v>
      </c>
      <c r="D213" s="54" t="s">
        <v>207</v>
      </c>
      <c r="E213" s="38" t="s">
        <v>31</v>
      </c>
      <c r="F213" s="14">
        <v>16</v>
      </c>
      <c r="G213" s="15">
        <v>23.25</v>
      </c>
      <c r="H213" s="87">
        <f t="shared" si="19"/>
        <v>30.57</v>
      </c>
      <c r="I213" s="90">
        <f t="shared" si="20"/>
        <v>489.12</v>
      </c>
      <c r="J213" s="16"/>
    </row>
    <row r="214" spans="1:10" ht="12.75">
      <c r="A214" s="331"/>
      <c r="B214" s="322" t="s">
        <v>284</v>
      </c>
      <c r="C214" s="255"/>
      <c r="D214" s="168" t="s">
        <v>208</v>
      </c>
      <c r="E214" s="255"/>
      <c r="F214" s="169"/>
      <c r="G214" s="170"/>
      <c r="H214" s="170">
        <f>ROUND(G214+(G214*$I$9),2)</f>
        <v>0</v>
      </c>
      <c r="I214" s="309">
        <f>ROUND((F214*H214),2)</f>
        <v>0</v>
      </c>
      <c r="J214" s="16"/>
    </row>
    <row r="215" spans="1:10" ht="17.25" customHeight="1">
      <c r="A215" s="331"/>
      <c r="B215" s="316" t="s">
        <v>286</v>
      </c>
      <c r="C215" s="12" t="s">
        <v>209</v>
      </c>
      <c r="D215" s="35" t="s">
        <v>210</v>
      </c>
      <c r="E215" s="12" t="s">
        <v>31</v>
      </c>
      <c r="F215" s="14">
        <v>6</v>
      </c>
      <c r="G215" s="52">
        <v>49.87</v>
      </c>
      <c r="H215" s="87">
        <f>ROUND(G215+(G215*$I$9),2)</f>
        <v>65.57</v>
      </c>
      <c r="I215" s="90">
        <f>ROUND((F215*H215),2)</f>
        <v>393.42</v>
      </c>
      <c r="J215" s="16"/>
    </row>
    <row r="216" spans="1:10" ht="12.75">
      <c r="A216" s="331"/>
      <c r="B216" s="316" t="s">
        <v>288</v>
      </c>
      <c r="C216" s="12">
        <v>72289</v>
      </c>
      <c r="D216" s="35" t="s">
        <v>211</v>
      </c>
      <c r="E216" s="38" t="s">
        <v>31</v>
      </c>
      <c r="F216" s="14">
        <v>2</v>
      </c>
      <c r="G216" s="15">
        <v>284.34</v>
      </c>
      <c r="H216" s="87">
        <f aca="true" t="shared" si="21" ref="H216:H222">ROUND(G216+(G216*$I$9),2)</f>
        <v>373.85</v>
      </c>
      <c r="I216" s="90">
        <f aca="true" t="shared" si="22" ref="I216:I222">ROUND((F216*H216),2)</f>
        <v>747.7</v>
      </c>
      <c r="J216" s="16"/>
    </row>
    <row r="217" spans="1:10" ht="38.25">
      <c r="A217" s="331"/>
      <c r="B217" s="316" t="s">
        <v>290</v>
      </c>
      <c r="C217" s="38">
        <v>89710</v>
      </c>
      <c r="D217" s="54" t="s">
        <v>212</v>
      </c>
      <c r="E217" s="38" t="s">
        <v>31</v>
      </c>
      <c r="F217" s="14">
        <v>6</v>
      </c>
      <c r="G217" s="15">
        <v>6.99</v>
      </c>
      <c r="H217" s="87">
        <f t="shared" si="21"/>
        <v>9.19</v>
      </c>
      <c r="I217" s="90">
        <f t="shared" si="22"/>
        <v>55.14</v>
      </c>
      <c r="J217" s="16"/>
    </row>
    <row r="218" spans="1:10" ht="38.25">
      <c r="A218" s="331"/>
      <c r="B218" s="316" t="s">
        <v>292</v>
      </c>
      <c r="C218" s="38">
        <v>89798</v>
      </c>
      <c r="D218" s="54" t="s">
        <v>213</v>
      </c>
      <c r="E218" s="38" t="s">
        <v>48</v>
      </c>
      <c r="F218" s="14">
        <v>8</v>
      </c>
      <c r="G218" s="15">
        <v>7.43</v>
      </c>
      <c r="H218" s="87">
        <f t="shared" si="21"/>
        <v>9.77</v>
      </c>
      <c r="I218" s="90">
        <f t="shared" si="22"/>
        <v>78.16</v>
      </c>
      <c r="J218" s="16"/>
    </row>
    <row r="219" spans="1:10" ht="25.5">
      <c r="A219" s="331"/>
      <c r="B219" s="316" t="s">
        <v>294</v>
      </c>
      <c r="C219" s="12">
        <v>86882</v>
      </c>
      <c r="D219" s="35" t="s">
        <v>214</v>
      </c>
      <c r="E219" s="38" t="s">
        <v>31</v>
      </c>
      <c r="F219" s="14">
        <v>8</v>
      </c>
      <c r="G219" s="15">
        <v>9.63</v>
      </c>
      <c r="H219" s="87">
        <f t="shared" si="21"/>
        <v>12.66</v>
      </c>
      <c r="I219" s="90">
        <f t="shared" si="22"/>
        <v>101.28</v>
      </c>
      <c r="J219" s="16"/>
    </row>
    <row r="220" spans="1:10" ht="25.5">
      <c r="A220" s="331"/>
      <c r="B220" s="316" t="s">
        <v>295</v>
      </c>
      <c r="C220" s="12" t="s">
        <v>215</v>
      </c>
      <c r="D220" s="35" t="s">
        <v>216</v>
      </c>
      <c r="E220" s="38" t="s">
        <v>31</v>
      </c>
      <c r="F220" s="14">
        <v>8</v>
      </c>
      <c r="G220" s="15">
        <v>108.67</v>
      </c>
      <c r="H220" s="87">
        <f t="shared" si="21"/>
        <v>142.88</v>
      </c>
      <c r="I220" s="90">
        <f t="shared" si="22"/>
        <v>1143.04</v>
      </c>
      <c r="J220" s="16"/>
    </row>
    <row r="221" spans="1:10" ht="38.25">
      <c r="A221" s="331"/>
      <c r="B221" s="316" t="s">
        <v>297</v>
      </c>
      <c r="C221" s="27" t="s">
        <v>217</v>
      </c>
      <c r="D221" s="37" t="s">
        <v>218</v>
      </c>
      <c r="E221" s="27" t="s">
        <v>31</v>
      </c>
      <c r="F221" s="14">
        <v>1</v>
      </c>
      <c r="G221" s="15">
        <v>1401.44</v>
      </c>
      <c r="H221" s="87">
        <f t="shared" si="21"/>
        <v>1842.61</v>
      </c>
      <c r="I221" s="90">
        <f t="shared" si="22"/>
        <v>1842.61</v>
      </c>
      <c r="J221" s="16"/>
    </row>
    <row r="222" spans="1:10" ht="63.75">
      <c r="A222" s="331"/>
      <c r="B222" s="316" t="s">
        <v>298</v>
      </c>
      <c r="C222" s="93">
        <v>95463</v>
      </c>
      <c r="D222" s="97" t="s">
        <v>407</v>
      </c>
      <c r="E222" s="93" t="s">
        <v>31</v>
      </c>
      <c r="F222" s="88">
        <v>1</v>
      </c>
      <c r="G222" s="87">
        <v>1151.97</v>
      </c>
      <c r="H222" s="87">
        <f t="shared" si="21"/>
        <v>1514.61</v>
      </c>
      <c r="I222" s="90">
        <f t="shared" si="22"/>
        <v>1514.61</v>
      </c>
      <c r="J222" s="16"/>
    </row>
    <row r="223" spans="1:10" ht="24.75" customHeight="1">
      <c r="A223" s="331"/>
      <c r="B223" s="303">
        <v>18</v>
      </c>
      <c r="C223" s="9"/>
      <c r="D223" s="113" t="s">
        <v>219</v>
      </c>
      <c r="E223" s="8"/>
      <c r="F223" s="30"/>
      <c r="G223" s="32"/>
      <c r="H223" s="32"/>
      <c r="I223" s="304">
        <f>SUM(I224:I226)</f>
        <v>10804.75</v>
      </c>
      <c r="J223" s="16"/>
    </row>
    <row r="224" spans="1:10" ht="25.5">
      <c r="A224" s="331"/>
      <c r="B224" s="316" t="s">
        <v>319</v>
      </c>
      <c r="C224" s="12" t="s">
        <v>221</v>
      </c>
      <c r="D224" s="35" t="s">
        <v>222</v>
      </c>
      <c r="E224" s="38" t="s">
        <v>48</v>
      </c>
      <c r="F224" s="14">
        <v>76.4</v>
      </c>
      <c r="G224" s="15">
        <v>97.28</v>
      </c>
      <c r="H224" s="87">
        <f>ROUND(G224+(G224*$I$9),2)</f>
        <v>127.9</v>
      </c>
      <c r="I224" s="90">
        <f>ROUND((F224*H224),2)</f>
        <v>9771.56</v>
      </c>
      <c r="J224" s="16"/>
    </row>
    <row r="225" spans="1:10" ht="12.75">
      <c r="A225" s="331"/>
      <c r="B225" s="316" t="s">
        <v>322</v>
      </c>
      <c r="C225" s="91" t="s">
        <v>3</v>
      </c>
      <c r="D225" s="95" t="s">
        <v>4</v>
      </c>
      <c r="E225" s="91" t="s">
        <v>31</v>
      </c>
      <c r="F225" s="88">
        <v>8</v>
      </c>
      <c r="G225" s="87">
        <v>81.91</v>
      </c>
      <c r="H225" s="397">
        <f>ROUND(G225+(G225*$I$9),2)</f>
        <v>107.7</v>
      </c>
      <c r="I225" s="90">
        <f>ROUND((F225*H225),2)</f>
        <v>861.6</v>
      </c>
      <c r="J225" s="16"/>
    </row>
    <row r="226" spans="1:10" ht="12.75">
      <c r="A226" s="331"/>
      <c r="B226" s="316" t="s">
        <v>325</v>
      </c>
      <c r="C226" s="12">
        <v>88549</v>
      </c>
      <c r="D226" s="35" t="s">
        <v>224</v>
      </c>
      <c r="E226" s="38" t="s">
        <v>54</v>
      </c>
      <c r="F226" s="14">
        <v>1.87</v>
      </c>
      <c r="G226" s="15">
        <v>69.79</v>
      </c>
      <c r="H226" s="87">
        <f>ROUND(G226+(G226*$I$9),2)</f>
        <v>91.76</v>
      </c>
      <c r="I226" s="90">
        <f>ROUND((F226*H226),2)</f>
        <v>171.59</v>
      </c>
      <c r="J226" s="16"/>
    </row>
    <row r="227" spans="1:10" ht="23.25" customHeight="1">
      <c r="A227" s="331"/>
      <c r="B227" s="303">
        <v>19</v>
      </c>
      <c r="C227" s="9"/>
      <c r="D227" s="113" t="s">
        <v>225</v>
      </c>
      <c r="E227" s="8"/>
      <c r="F227" s="30"/>
      <c r="G227" s="32"/>
      <c r="H227" s="32"/>
      <c r="I227" s="304">
        <f>SUM(I228:I241)</f>
        <v>10511.52</v>
      </c>
      <c r="J227" s="16"/>
    </row>
    <row r="228" spans="1:10" ht="25.5">
      <c r="A228" s="331"/>
      <c r="B228" s="302" t="s">
        <v>329</v>
      </c>
      <c r="C228" s="53">
        <v>95469</v>
      </c>
      <c r="D228" s="35" t="s">
        <v>227</v>
      </c>
      <c r="E228" s="45" t="s">
        <v>31</v>
      </c>
      <c r="F228" s="14">
        <v>6</v>
      </c>
      <c r="G228" s="15">
        <v>182.28</v>
      </c>
      <c r="H228" s="87">
        <f>ROUND(G228+(G228*$I$9),2)</f>
        <v>239.66</v>
      </c>
      <c r="I228" s="90">
        <f>ROUND((F228*H228),2)</f>
        <v>1437.96</v>
      </c>
      <c r="J228" s="16"/>
    </row>
    <row r="229" spans="1:10" ht="25.5">
      <c r="A229" s="331"/>
      <c r="B229" s="302" t="s">
        <v>340</v>
      </c>
      <c r="C229" s="38">
        <v>40729</v>
      </c>
      <c r="D229" s="35" t="s">
        <v>229</v>
      </c>
      <c r="E229" s="12" t="s">
        <v>31</v>
      </c>
      <c r="F229" s="14">
        <v>6</v>
      </c>
      <c r="G229" s="15">
        <v>203.86</v>
      </c>
      <c r="H229" s="87">
        <f aca="true" t="shared" si="23" ref="H229:H241">ROUND(G229+(G229*$I$9),2)</f>
        <v>268.04</v>
      </c>
      <c r="I229" s="90">
        <f aca="true" t="shared" si="24" ref="I229:I241">ROUND((F229*H229),2)</f>
        <v>1608.24</v>
      </c>
      <c r="J229" s="16"/>
    </row>
    <row r="230" spans="1:10" ht="24.75" customHeight="1">
      <c r="A230" s="331"/>
      <c r="B230" s="302" t="s">
        <v>515</v>
      </c>
      <c r="C230" s="12">
        <v>86901</v>
      </c>
      <c r="D230" s="35" t="s">
        <v>231</v>
      </c>
      <c r="E230" s="18" t="s">
        <v>31</v>
      </c>
      <c r="F230" s="14">
        <v>6</v>
      </c>
      <c r="G230" s="52">
        <v>117.29</v>
      </c>
      <c r="H230" s="87">
        <f t="shared" si="23"/>
        <v>154.21</v>
      </c>
      <c r="I230" s="90">
        <f t="shared" si="24"/>
        <v>925.26</v>
      </c>
      <c r="J230" s="16"/>
    </row>
    <row r="231" spans="1:10" ht="24" customHeight="1">
      <c r="A231" s="331"/>
      <c r="B231" s="302" t="s">
        <v>516</v>
      </c>
      <c r="C231" s="12" t="s">
        <v>233</v>
      </c>
      <c r="D231" s="35" t="s">
        <v>234</v>
      </c>
      <c r="E231" s="18" t="s">
        <v>31</v>
      </c>
      <c r="F231" s="14">
        <v>2</v>
      </c>
      <c r="G231" s="52">
        <v>359.49</v>
      </c>
      <c r="H231" s="87">
        <f t="shared" si="23"/>
        <v>472.66</v>
      </c>
      <c r="I231" s="90">
        <f t="shared" si="24"/>
        <v>945.32</v>
      </c>
      <c r="J231" s="16"/>
    </row>
    <row r="232" spans="1:10" ht="25.5">
      <c r="A232" s="331"/>
      <c r="B232" s="302" t="s">
        <v>517</v>
      </c>
      <c r="C232" s="51" t="s">
        <v>236</v>
      </c>
      <c r="D232" s="35" t="s">
        <v>237</v>
      </c>
      <c r="E232" s="45" t="s">
        <v>31</v>
      </c>
      <c r="F232" s="14">
        <v>2</v>
      </c>
      <c r="G232" s="52">
        <v>138.25</v>
      </c>
      <c r="H232" s="87">
        <f t="shared" si="23"/>
        <v>181.77</v>
      </c>
      <c r="I232" s="90">
        <f t="shared" si="24"/>
        <v>363.54</v>
      </c>
      <c r="J232" s="16"/>
    </row>
    <row r="233" spans="1:10" ht="25.5">
      <c r="A233" s="331"/>
      <c r="B233" s="302" t="s">
        <v>518</v>
      </c>
      <c r="C233" s="12">
        <v>86906</v>
      </c>
      <c r="D233" s="35" t="s">
        <v>239</v>
      </c>
      <c r="E233" s="18" t="s">
        <v>31</v>
      </c>
      <c r="F233" s="14">
        <v>8</v>
      </c>
      <c r="G233" s="52">
        <v>44.3</v>
      </c>
      <c r="H233" s="87">
        <f t="shared" si="23"/>
        <v>58.25</v>
      </c>
      <c r="I233" s="90">
        <f t="shared" si="24"/>
        <v>466</v>
      </c>
      <c r="J233" s="16"/>
    </row>
    <row r="234" spans="1:10" ht="25.5">
      <c r="A234" s="331"/>
      <c r="B234" s="302" t="s">
        <v>519</v>
      </c>
      <c r="C234" s="12">
        <v>86914</v>
      </c>
      <c r="D234" s="35" t="s">
        <v>241</v>
      </c>
      <c r="E234" s="18" t="s">
        <v>31</v>
      </c>
      <c r="F234" s="14">
        <v>2</v>
      </c>
      <c r="G234" s="52">
        <v>34.01</v>
      </c>
      <c r="H234" s="87">
        <f t="shared" si="23"/>
        <v>44.72</v>
      </c>
      <c r="I234" s="90">
        <f t="shared" si="24"/>
        <v>89.44</v>
      </c>
      <c r="J234" s="16"/>
    </row>
    <row r="235" spans="1:10" ht="25.5">
      <c r="A235" s="331"/>
      <c r="B235" s="302" t="s">
        <v>520</v>
      </c>
      <c r="C235" s="91">
        <v>9535</v>
      </c>
      <c r="D235" s="95" t="s">
        <v>408</v>
      </c>
      <c r="E235" s="92" t="s">
        <v>31</v>
      </c>
      <c r="F235" s="88">
        <v>6</v>
      </c>
      <c r="G235" s="89">
        <v>59.36</v>
      </c>
      <c r="H235" s="87">
        <f t="shared" si="23"/>
        <v>78.05</v>
      </c>
      <c r="I235" s="90">
        <f t="shared" si="24"/>
        <v>468.3</v>
      </c>
      <c r="J235" s="16"/>
    </row>
    <row r="236" spans="1:10" ht="25.5">
      <c r="A236" s="331"/>
      <c r="B236" s="302" t="s">
        <v>638</v>
      </c>
      <c r="C236" s="27">
        <v>95544</v>
      </c>
      <c r="D236" s="35" t="s">
        <v>243</v>
      </c>
      <c r="E236" s="18" t="s">
        <v>31</v>
      </c>
      <c r="F236" s="14">
        <v>6</v>
      </c>
      <c r="G236" s="15">
        <v>27.07</v>
      </c>
      <c r="H236" s="87">
        <f t="shared" si="23"/>
        <v>35.59</v>
      </c>
      <c r="I236" s="90">
        <f t="shared" si="24"/>
        <v>213.54</v>
      </c>
      <c r="J236" s="16"/>
    </row>
    <row r="237" spans="1:10" ht="18" customHeight="1">
      <c r="A237" s="331"/>
      <c r="B237" s="302" t="s">
        <v>639</v>
      </c>
      <c r="C237" s="27" t="s">
        <v>244</v>
      </c>
      <c r="D237" s="35" t="s">
        <v>245</v>
      </c>
      <c r="E237" s="18" t="s">
        <v>31</v>
      </c>
      <c r="F237" s="14">
        <v>4</v>
      </c>
      <c r="G237" s="15">
        <v>34.37</v>
      </c>
      <c r="H237" s="87">
        <f t="shared" si="23"/>
        <v>45.19</v>
      </c>
      <c r="I237" s="90">
        <f t="shared" si="24"/>
        <v>180.76</v>
      </c>
      <c r="J237" s="16"/>
    </row>
    <row r="238" spans="1:10" ht="25.5">
      <c r="A238" s="331"/>
      <c r="B238" s="302" t="s">
        <v>640</v>
      </c>
      <c r="C238" s="27">
        <v>95547</v>
      </c>
      <c r="D238" s="35" t="s">
        <v>246</v>
      </c>
      <c r="E238" s="18" t="s">
        <v>31</v>
      </c>
      <c r="F238" s="14">
        <v>4</v>
      </c>
      <c r="G238" s="15">
        <v>50.17</v>
      </c>
      <c r="H238" s="87">
        <f t="shared" si="23"/>
        <v>65.96</v>
      </c>
      <c r="I238" s="90">
        <f t="shared" si="24"/>
        <v>263.84</v>
      </c>
      <c r="J238" s="16"/>
    </row>
    <row r="239" spans="1:10" ht="18.75" customHeight="1">
      <c r="A239" s="331"/>
      <c r="B239" s="302" t="s">
        <v>641</v>
      </c>
      <c r="C239" s="53" t="s">
        <v>247</v>
      </c>
      <c r="D239" s="35" t="s">
        <v>248</v>
      </c>
      <c r="E239" s="45" t="s">
        <v>31</v>
      </c>
      <c r="F239" s="14">
        <v>6</v>
      </c>
      <c r="G239" s="15">
        <v>24.81</v>
      </c>
      <c r="H239" s="87">
        <f t="shared" si="23"/>
        <v>32.62</v>
      </c>
      <c r="I239" s="90">
        <f t="shared" si="24"/>
        <v>195.72</v>
      </c>
      <c r="J239" s="16"/>
    </row>
    <row r="240" spans="1:10" ht="12.75">
      <c r="A240" s="331"/>
      <c r="B240" s="302" t="s">
        <v>642</v>
      </c>
      <c r="C240" s="27" t="s">
        <v>249</v>
      </c>
      <c r="D240" s="35" t="s">
        <v>250</v>
      </c>
      <c r="E240" s="18" t="s">
        <v>31</v>
      </c>
      <c r="F240" s="14">
        <v>2</v>
      </c>
      <c r="G240" s="15">
        <v>573.48</v>
      </c>
      <c r="H240" s="87">
        <f t="shared" si="23"/>
        <v>754.01</v>
      </c>
      <c r="I240" s="90">
        <f t="shared" si="24"/>
        <v>1508.02</v>
      </c>
      <c r="J240" s="16"/>
    </row>
    <row r="241" spans="1:10" ht="12.75">
      <c r="A241" s="331"/>
      <c r="B241" s="302"/>
      <c r="C241" s="27" t="s">
        <v>733</v>
      </c>
      <c r="D241" s="35" t="s">
        <v>732</v>
      </c>
      <c r="E241" s="18" t="s">
        <v>31</v>
      </c>
      <c r="F241" s="14">
        <v>2</v>
      </c>
      <c r="G241" s="15">
        <v>701.85</v>
      </c>
      <c r="H241" s="87">
        <f t="shared" si="23"/>
        <v>922.79</v>
      </c>
      <c r="I241" s="90">
        <f t="shared" si="24"/>
        <v>1845.58</v>
      </c>
      <c r="J241" s="16"/>
    </row>
    <row r="242" spans="1:10" ht="24.75" customHeight="1">
      <c r="A242" s="331"/>
      <c r="B242" s="303">
        <v>20</v>
      </c>
      <c r="C242" s="9"/>
      <c r="D242" s="113" t="s">
        <v>251</v>
      </c>
      <c r="E242" s="8"/>
      <c r="F242" s="30"/>
      <c r="G242" s="32"/>
      <c r="H242" s="32"/>
      <c r="I242" s="304">
        <f>SUM(I243:I247)</f>
        <v>630.56</v>
      </c>
      <c r="J242" s="16"/>
    </row>
    <row r="243" spans="1:10" ht="25.5">
      <c r="A243" s="331"/>
      <c r="B243" s="323" t="s">
        <v>347</v>
      </c>
      <c r="C243" s="51" t="s">
        <v>253</v>
      </c>
      <c r="D243" s="54" t="s">
        <v>254</v>
      </c>
      <c r="E243" s="38" t="s">
        <v>31</v>
      </c>
      <c r="F243" s="14">
        <v>2</v>
      </c>
      <c r="G243" s="15">
        <v>150.52</v>
      </c>
      <c r="H243" s="87">
        <f>ROUND(G243+(G243*$I$9),2)</f>
        <v>197.9</v>
      </c>
      <c r="I243" s="90">
        <f>ROUND((F243*H243),2)</f>
        <v>395.8</v>
      </c>
      <c r="J243" s="16"/>
    </row>
    <row r="244" spans="1:10" ht="20.25" customHeight="1">
      <c r="A244" s="331"/>
      <c r="B244" s="323" t="s">
        <v>521</v>
      </c>
      <c r="C244" s="51">
        <v>97599</v>
      </c>
      <c r="D244" s="54" t="s">
        <v>256</v>
      </c>
      <c r="E244" s="38" t="s">
        <v>31</v>
      </c>
      <c r="F244" s="14">
        <v>2</v>
      </c>
      <c r="G244" s="15">
        <v>33.51</v>
      </c>
      <c r="H244" s="87">
        <f>ROUND(G244+(G244*$I$9),2)</f>
        <v>44.06</v>
      </c>
      <c r="I244" s="90">
        <f>ROUND((F244*H244),2)</f>
        <v>88.12</v>
      </c>
      <c r="J244" s="16"/>
    </row>
    <row r="245" spans="1:10" ht="25.5">
      <c r="A245" s="331"/>
      <c r="B245" s="323" t="s">
        <v>643</v>
      </c>
      <c r="C245" s="51">
        <v>84665</v>
      </c>
      <c r="D245" s="35" t="s">
        <v>257</v>
      </c>
      <c r="E245" s="38" t="s">
        <v>27</v>
      </c>
      <c r="F245" s="14">
        <v>2</v>
      </c>
      <c r="G245" s="15">
        <v>16.44</v>
      </c>
      <c r="H245" s="87">
        <f>ROUND(G245+(G245*$I$9),2)</f>
        <v>21.62</v>
      </c>
      <c r="I245" s="90">
        <f>ROUND((F245*H245),2)</f>
        <v>43.24</v>
      </c>
      <c r="J245" s="16"/>
    </row>
    <row r="246" spans="1:10" ht="17.25" customHeight="1">
      <c r="A246" s="331"/>
      <c r="B246" s="323" t="s">
        <v>644</v>
      </c>
      <c r="C246" s="51" t="s">
        <v>258</v>
      </c>
      <c r="D246" s="35" t="s">
        <v>259</v>
      </c>
      <c r="E246" s="38" t="s">
        <v>31</v>
      </c>
      <c r="F246" s="14">
        <v>2</v>
      </c>
      <c r="G246" s="15">
        <v>24.02</v>
      </c>
      <c r="H246" s="87">
        <f>ROUND(G246+(G246*$I$9),2)</f>
        <v>31.58</v>
      </c>
      <c r="I246" s="90">
        <f>ROUND((F246*H246),2)</f>
        <v>63.16</v>
      </c>
      <c r="J246" s="16"/>
    </row>
    <row r="247" spans="1:10" ht="12.75">
      <c r="A247" s="331"/>
      <c r="B247" s="323" t="s">
        <v>645</v>
      </c>
      <c r="C247" s="51" t="s">
        <v>260</v>
      </c>
      <c r="D247" s="35" t="s">
        <v>261</v>
      </c>
      <c r="E247" s="38" t="s">
        <v>31</v>
      </c>
      <c r="F247" s="14">
        <v>2</v>
      </c>
      <c r="G247" s="15">
        <v>15.3</v>
      </c>
      <c r="H247" s="87">
        <f>ROUND(G247+(G247*$I$9),2)</f>
        <v>20.12</v>
      </c>
      <c r="I247" s="90">
        <f>ROUND((F247*H247),2)</f>
        <v>40.24</v>
      </c>
      <c r="J247" s="16"/>
    </row>
    <row r="248" spans="1:10" ht="24" customHeight="1">
      <c r="A248" s="331"/>
      <c r="B248" s="303">
        <v>21</v>
      </c>
      <c r="C248" s="9"/>
      <c r="D248" s="113" t="s">
        <v>262</v>
      </c>
      <c r="E248" s="8"/>
      <c r="F248" s="30"/>
      <c r="G248" s="32"/>
      <c r="H248" s="32"/>
      <c r="I248" s="304">
        <f>SUM(I249:I292)</f>
        <v>27789.41</v>
      </c>
      <c r="J248" s="16"/>
    </row>
    <row r="249" spans="1:10" ht="12.75">
      <c r="A249" s="331"/>
      <c r="B249" s="305" t="s">
        <v>522</v>
      </c>
      <c r="C249" s="177"/>
      <c r="D249" s="178" t="s">
        <v>264</v>
      </c>
      <c r="E249" s="179"/>
      <c r="F249" s="180"/>
      <c r="G249" s="170"/>
      <c r="H249" s="170">
        <f>ROUND(G249+(G249*$I$9),2)</f>
        <v>0</v>
      </c>
      <c r="I249" s="309">
        <f>ROUND((F249*H249),2)</f>
        <v>0</v>
      </c>
      <c r="J249" s="16"/>
    </row>
    <row r="250" spans="1:13" ht="51">
      <c r="A250" s="331"/>
      <c r="B250" s="302" t="s">
        <v>646</v>
      </c>
      <c r="C250" s="33">
        <v>83463</v>
      </c>
      <c r="D250" s="13" t="s">
        <v>266</v>
      </c>
      <c r="E250" s="11" t="s">
        <v>31</v>
      </c>
      <c r="F250" s="14">
        <v>1</v>
      </c>
      <c r="G250" s="15">
        <v>247.78</v>
      </c>
      <c r="H250" s="87">
        <f>ROUND(G250+(G250*$I$9),2)</f>
        <v>325.78</v>
      </c>
      <c r="I250" s="90">
        <f>ROUND((F250*H250),2)</f>
        <v>325.78</v>
      </c>
      <c r="J250" s="16"/>
      <c r="K250" s="55"/>
      <c r="L250" s="56"/>
      <c r="M250" s="57"/>
    </row>
    <row r="251" spans="1:13" ht="51">
      <c r="A251" s="331"/>
      <c r="B251" s="302" t="s">
        <v>647</v>
      </c>
      <c r="C251" s="33" t="s">
        <v>268</v>
      </c>
      <c r="D251" s="19" t="s">
        <v>269</v>
      </c>
      <c r="E251" s="11" t="s">
        <v>31</v>
      </c>
      <c r="F251" s="14">
        <v>1</v>
      </c>
      <c r="G251" s="15">
        <v>391.19</v>
      </c>
      <c r="H251" s="87">
        <f aca="true" t="shared" si="25" ref="H251:H258">ROUND(G251+(G251*$I$9),2)</f>
        <v>514.34</v>
      </c>
      <c r="I251" s="90">
        <f aca="true" t="shared" si="26" ref="I251:I258">ROUND((F251*H251),2)</f>
        <v>514.34</v>
      </c>
      <c r="J251" s="16"/>
      <c r="K251" s="55"/>
      <c r="L251" s="56"/>
      <c r="M251" s="57"/>
    </row>
    <row r="252" spans="1:13" ht="25.5">
      <c r="A252" s="331"/>
      <c r="B252" s="302" t="s">
        <v>648</v>
      </c>
      <c r="C252" s="33" t="s">
        <v>479</v>
      </c>
      <c r="D252" s="19" t="s">
        <v>480</v>
      </c>
      <c r="E252" s="18" t="s">
        <v>31</v>
      </c>
      <c r="F252" s="14">
        <v>1</v>
      </c>
      <c r="G252" s="15">
        <v>3274.87</v>
      </c>
      <c r="H252" s="87">
        <f t="shared" si="25"/>
        <v>4305.8</v>
      </c>
      <c r="I252" s="90">
        <f t="shared" si="26"/>
        <v>4305.8</v>
      </c>
      <c r="J252" s="16"/>
      <c r="K252" s="57"/>
      <c r="L252" s="57"/>
      <c r="M252" s="57"/>
    </row>
    <row r="253" spans="1:10" ht="25.5">
      <c r="A253" s="331"/>
      <c r="B253" s="302" t="s">
        <v>649</v>
      </c>
      <c r="C253" s="33" t="s">
        <v>272</v>
      </c>
      <c r="D253" s="19" t="s">
        <v>273</v>
      </c>
      <c r="E253" s="18" t="s">
        <v>31</v>
      </c>
      <c r="F253" s="14">
        <v>7</v>
      </c>
      <c r="G253" s="15">
        <v>14.04</v>
      </c>
      <c r="H253" s="87">
        <f t="shared" si="25"/>
        <v>18.46</v>
      </c>
      <c r="I253" s="90">
        <f t="shared" si="26"/>
        <v>129.22</v>
      </c>
      <c r="J253" s="16"/>
    </row>
    <row r="254" spans="1:10" ht="25.5">
      <c r="A254" s="331"/>
      <c r="B254" s="302" t="s">
        <v>650</v>
      </c>
      <c r="C254" s="33" t="s">
        <v>272</v>
      </c>
      <c r="D254" s="19" t="s">
        <v>273</v>
      </c>
      <c r="E254" s="18" t="s">
        <v>31</v>
      </c>
      <c r="F254" s="14">
        <v>5</v>
      </c>
      <c r="G254" s="52">
        <v>14.04</v>
      </c>
      <c r="H254" s="87">
        <f t="shared" si="25"/>
        <v>18.46</v>
      </c>
      <c r="I254" s="90">
        <f t="shared" si="26"/>
        <v>92.3</v>
      </c>
      <c r="J254" s="16"/>
    </row>
    <row r="255" spans="1:10" ht="25.5">
      <c r="A255" s="331"/>
      <c r="B255" s="302" t="s">
        <v>651</v>
      </c>
      <c r="C255" s="33" t="s">
        <v>272</v>
      </c>
      <c r="D255" s="19" t="s">
        <v>273</v>
      </c>
      <c r="E255" s="18" t="s">
        <v>31</v>
      </c>
      <c r="F255" s="14">
        <v>8</v>
      </c>
      <c r="G255" s="15">
        <v>14.04</v>
      </c>
      <c r="H255" s="87">
        <f t="shared" si="25"/>
        <v>18.46</v>
      </c>
      <c r="I255" s="90">
        <f t="shared" si="26"/>
        <v>147.68</v>
      </c>
      <c r="J255" s="16"/>
    </row>
    <row r="256" spans="1:10" ht="25.5">
      <c r="A256" s="331"/>
      <c r="B256" s="302" t="s">
        <v>652</v>
      </c>
      <c r="C256" s="33" t="s">
        <v>277</v>
      </c>
      <c r="D256" s="19" t="s">
        <v>278</v>
      </c>
      <c r="E256" s="18" t="s">
        <v>31</v>
      </c>
      <c r="F256" s="14">
        <v>2</v>
      </c>
      <c r="G256" s="15">
        <v>124.94</v>
      </c>
      <c r="H256" s="87">
        <f t="shared" si="25"/>
        <v>164.27</v>
      </c>
      <c r="I256" s="90">
        <f t="shared" si="26"/>
        <v>328.54</v>
      </c>
      <c r="J256" s="16"/>
    </row>
    <row r="257" spans="1:10" ht="25.5">
      <c r="A257" s="331"/>
      <c r="B257" s="302" t="s">
        <v>653</v>
      </c>
      <c r="C257" s="33" t="s">
        <v>280</v>
      </c>
      <c r="D257" s="19" t="s">
        <v>281</v>
      </c>
      <c r="E257" s="18" t="s">
        <v>31</v>
      </c>
      <c r="F257" s="14">
        <v>1</v>
      </c>
      <c r="G257" s="15">
        <v>364.76</v>
      </c>
      <c r="H257" s="87">
        <f t="shared" si="25"/>
        <v>479.59</v>
      </c>
      <c r="I257" s="90">
        <f t="shared" si="26"/>
        <v>479.59</v>
      </c>
      <c r="J257" s="16"/>
    </row>
    <row r="258" spans="1:10" ht="22.5" customHeight="1">
      <c r="A258" s="331"/>
      <c r="B258" s="302" t="s">
        <v>654</v>
      </c>
      <c r="C258" s="51" t="s">
        <v>283</v>
      </c>
      <c r="D258" s="19" t="s">
        <v>531</v>
      </c>
      <c r="E258" s="11" t="s">
        <v>31</v>
      </c>
      <c r="F258" s="14">
        <v>4</v>
      </c>
      <c r="G258" s="15">
        <v>82.09</v>
      </c>
      <c r="H258" s="87">
        <f t="shared" si="25"/>
        <v>107.93</v>
      </c>
      <c r="I258" s="90">
        <f t="shared" si="26"/>
        <v>431.72</v>
      </c>
      <c r="J258" s="16"/>
    </row>
    <row r="259" spans="1:10" ht="12.75">
      <c r="A259" s="331"/>
      <c r="B259" s="305" t="s">
        <v>655</v>
      </c>
      <c r="C259" s="172"/>
      <c r="D259" s="173" t="s">
        <v>285</v>
      </c>
      <c r="E259" s="176"/>
      <c r="F259" s="175"/>
      <c r="G259" s="170"/>
      <c r="H259" s="170">
        <f>ROUND(G259+(G259*$I$9),2)</f>
        <v>0</v>
      </c>
      <c r="I259" s="309">
        <f>ROUND((F259*H259),2)</f>
        <v>0</v>
      </c>
      <c r="J259" s="16"/>
    </row>
    <row r="260" spans="1:10" ht="38.25">
      <c r="A260" s="331"/>
      <c r="B260" s="324" t="s">
        <v>656</v>
      </c>
      <c r="C260" s="34">
        <v>91854</v>
      </c>
      <c r="D260" s="35" t="s">
        <v>287</v>
      </c>
      <c r="E260" s="34" t="s">
        <v>48</v>
      </c>
      <c r="F260" s="14">
        <v>28</v>
      </c>
      <c r="G260" s="15">
        <v>5.56</v>
      </c>
      <c r="H260" s="87">
        <f>ROUND(G260+(G260*$I$9),2)</f>
        <v>7.31</v>
      </c>
      <c r="I260" s="90">
        <f>ROUND((F260*H260),2)</f>
        <v>204.68</v>
      </c>
      <c r="J260" s="16"/>
    </row>
    <row r="261" spans="1:10" ht="38.25">
      <c r="A261" s="331"/>
      <c r="B261" s="324" t="s">
        <v>657</v>
      </c>
      <c r="C261" s="34">
        <v>91856</v>
      </c>
      <c r="D261" s="35" t="s">
        <v>289</v>
      </c>
      <c r="E261" s="34" t="s">
        <v>48</v>
      </c>
      <c r="F261" s="14">
        <v>18</v>
      </c>
      <c r="G261" s="15">
        <v>7.03</v>
      </c>
      <c r="H261" s="87">
        <f aca="true" t="shared" si="27" ref="H261:H280">ROUND(G261+(G261*$I$9),2)</f>
        <v>9.24</v>
      </c>
      <c r="I261" s="90">
        <f aca="true" t="shared" si="28" ref="I261:I280">ROUND((F261*H261),2)</f>
        <v>166.32</v>
      </c>
      <c r="J261" s="16"/>
    </row>
    <row r="262" spans="1:10" ht="38.25">
      <c r="A262" s="331"/>
      <c r="B262" s="324" t="s">
        <v>658</v>
      </c>
      <c r="C262" s="34">
        <v>91873</v>
      </c>
      <c r="D262" s="35" t="s">
        <v>291</v>
      </c>
      <c r="E262" s="34" t="s">
        <v>48</v>
      </c>
      <c r="F262" s="14">
        <v>18</v>
      </c>
      <c r="G262" s="15">
        <v>11.46</v>
      </c>
      <c r="H262" s="87">
        <f t="shared" si="27"/>
        <v>15.07</v>
      </c>
      <c r="I262" s="90">
        <f t="shared" si="28"/>
        <v>271.26</v>
      </c>
      <c r="J262" s="16"/>
    </row>
    <row r="263" spans="1:10" ht="25.5">
      <c r="A263" s="331"/>
      <c r="B263" s="324" t="s">
        <v>659</v>
      </c>
      <c r="C263" s="34">
        <v>95746</v>
      </c>
      <c r="D263" s="35" t="s">
        <v>293</v>
      </c>
      <c r="E263" s="39" t="s">
        <v>48</v>
      </c>
      <c r="F263" s="14">
        <v>82</v>
      </c>
      <c r="G263" s="15">
        <v>11.66</v>
      </c>
      <c r="H263" s="87">
        <f t="shared" si="27"/>
        <v>15.33</v>
      </c>
      <c r="I263" s="90">
        <f t="shared" si="28"/>
        <v>1257.06</v>
      </c>
      <c r="J263" s="16"/>
    </row>
    <row r="264" spans="1:10" ht="38.25">
      <c r="A264" s="331"/>
      <c r="B264" s="324" t="s">
        <v>660</v>
      </c>
      <c r="C264" s="34">
        <v>95747</v>
      </c>
      <c r="D264" s="35" t="s">
        <v>740</v>
      </c>
      <c r="E264" s="39" t="s">
        <v>48</v>
      </c>
      <c r="F264" s="14">
        <v>13</v>
      </c>
      <c r="G264" s="52">
        <v>19.27</v>
      </c>
      <c r="H264" s="87">
        <f t="shared" si="27"/>
        <v>25.34</v>
      </c>
      <c r="I264" s="90">
        <f t="shared" si="28"/>
        <v>329.42</v>
      </c>
      <c r="J264" s="16"/>
    </row>
    <row r="265" spans="1:10" ht="38.25">
      <c r="A265" s="331"/>
      <c r="B265" s="324" t="s">
        <v>661</v>
      </c>
      <c r="C265" s="34">
        <v>95748</v>
      </c>
      <c r="D265" s="35" t="s">
        <v>296</v>
      </c>
      <c r="E265" s="39" t="s">
        <v>48</v>
      </c>
      <c r="F265" s="14">
        <v>30</v>
      </c>
      <c r="G265" s="52">
        <v>20.4</v>
      </c>
      <c r="H265" s="87">
        <f t="shared" si="27"/>
        <v>26.82</v>
      </c>
      <c r="I265" s="90">
        <f t="shared" si="28"/>
        <v>804.6</v>
      </c>
      <c r="J265" s="16"/>
    </row>
    <row r="266" spans="1:10" ht="12.75">
      <c r="A266" s="331"/>
      <c r="B266" s="324" t="s">
        <v>662</v>
      </c>
      <c r="C266" s="34" t="s">
        <v>483</v>
      </c>
      <c r="D266" s="35" t="s">
        <v>532</v>
      </c>
      <c r="E266" s="34" t="s">
        <v>31</v>
      </c>
      <c r="F266" s="14">
        <v>15</v>
      </c>
      <c r="G266" s="15">
        <v>15.68</v>
      </c>
      <c r="H266" s="87">
        <f t="shared" si="27"/>
        <v>20.62</v>
      </c>
      <c r="I266" s="90">
        <f t="shared" si="28"/>
        <v>309.3</v>
      </c>
      <c r="J266" s="16"/>
    </row>
    <row r="267" spans="1:10" ht="12.75">
      <c r="A267" s="331"/>
      <c r="B267" s="324" t="s">
        <v>663</v>
      </c>
      <c r="C267" s="34" t="s">
        <v>114</v>
      </c>
      <c r="D267" s="35" t="s">
        <v>490</v>
      </c>
      <c r="E267" s="34" t="s">
        <v>31</v>
      </c>
      <c r="F267" s="14">
        <v>50</v>
      </c>
      <c r="G267" s="15">
        <v>1.14</v>
      </c>
      <c r="H267" s="87">
        <f t="shared" si="27"/>
        <v>1.5</v>
      </c>
      <c r="I267" s="90">
        <f t="shared" si="28"/>
        <v>75</v>
      </c>
      <c r="J267" s="16"/>
    </row>
    <row r="268" spans="1:10" ht="12.75">
      <c r="A268" s="331"/>
      <c r="B268" s="324" t="s">
        <v>664</v>
      </c>
      <c r="C268" s="34" t="s">
        <v>114</v>
      </c>
      <c r="D268" s="35" t="s">
        <v>491</v>
      </c>
      <c r="E268" s="34" t="s">
        <v>31</v>
      </c>
      <c r="F268" s="14">
        <v>4</v>
      </c>
      <c r="G268" s="15">
        <v>1.64</v>
      </c>
      <c r="H268" s="87">
        <f t="shared" si="27"/>
        <v>2.16</v>
      </c>
      <c r="I268" s="90">
        <f t="shared" si="28"/>
        <v>8.64</v>
      </c>
      <c r="J268" s="16"/>
    </row>
    <row r="269" spans="1:10" ht="51">
      <c r="A269" s="331"/>
      <c r="B269" s="324" t="s">
        <v>665</v>
      </c>
      <c r="C269" s="34">
        <v>91171</v>
      </c>
      <c r="D269" s="35" t="s">
        <v>409</v>
      </c>
      <c r="E269" s="34" t="s">
        <v>31</v>
      </c>
      <c r="F269" s="14">
        <v>4</v>
      </c>
      <c r="G269" s="15">
        <v>2.02</v>
      </c>
      <c r="H269" s="87">
        <f t="shared" si="27"/>
        <v>2.66</v>
      </c>
      <c r="I269" s="90">
        <f t="shared" si="28"/>
        <v>10.64</v>
      </c>
      <c r="J269" s="16"/>
    </row>
    <row r="270" spans="1:10" ht="12.75">
      <c r="A270" s="331"/>
      <c r="B270" s="324" t="s">
        <v>666</v>
      </c>
      <c r="C270" s="34" t="s">
        <v>114</v>
      </c>
      <c r="D270" s="35" t="s">
        <v>485</v>
      </c>
      <c r="E270" s="34" t="s">
        <v>31</v>
      </c>
      <c r="F270" s="14">
        <v>15</v>
      </c>
      <c r="G270" s="15">
        <v>0.35</v>
      </c>
      <c r="H270" s="87">
        <f t="shared" si="27"/>
        <v>0.46</v>
      </c>
      <c r="I270" s="90">
        <f t="shared" si="28"/>
        <v>6.9</v>
      </c>
      <c r="J270" s="16"/>
    </row>
    <row r="271" spans="1:10" ht="12.75">
      <c r="A271" s="331"/>
      <c r="B271" s="324" t="s">
        <v>667</v>
      </c>
      <c r="C271" s="34" t="s">
        <v>114</v>
      </c>
      <c r="D271" s="35" t="s">
        <v>484</v>
      </c>
      <c r="E271" s="34" t="s">
        <v>31</v>
      </c>
      <c r="F271" s="14">
        <v>15</v>
      </c>
      <c r="G271" s="15">
        <v>0.6</v>
      </c>
      <c r="H271" s="87">
        <f t="shared" si="27"/>
        <v>0.79</v>
      </c>
      <c r="I271" s="90">
        <f t="shared" si="28"/>
        <v>11.85</v>
      </c>
      <c r="J271" s="16"/>
    </row>
    <row r="272" spans="1:10" ht="12.75">
      <c r="A272" s="331"/>
      <c r="B272" s="324" t="s">
        <v>668</v>
      </c>
      <c r="C272" s="34" t="s">
        <v>114</v>
      </c>
      <c r="D272" s="35" t="s">
        <v>486</v>
      </c>
      <c r="E272" s="34" t="s">
        <v>31</v>
      </c>
      <c r="F272" s="14">
        <v>2</v>
      </c>
      <c r="G272" s="15">
        <v>0.65</v>
      </c>
      <c r="H272" s="87">
        <f t="shared" si="27"/>
        <v>0.85</v>
      </c>
      <c r="I272" s="90">
        <f t="shared" si="28"/>
        <v>1.7</v>
      </c>
      <c r="J272" s="16"/>
    </row>
    <row r="273" spans="1:10" ht="12.75">
      <c r="A273" s="331"/>
      <c r="B273" s="324" t="s">
        <v>669</v>
      </c>
      <c r="C273" s="34" t="s">
        <v>114</v>
      </c>
      <c r="D273" s="35" t="s">
        <v>487</v>
      </c>
      <c r="E273" s="34" t="s">
        <v>31</v>
      </c>
      <c r="F273" s="14">
        <v>2</v>
      </c>
      <c r="G273" s="15">
        <v>0.85</v>
      </c>
      <c r="H273" s="87">
        <f t="shared" si="27"/>
        <v>1.12</v>
      </c>
      <c r="I273" s="90">
        <f t="shared" si="28"/>
        <v>2.24</v>
      </c>
      <c r="J273" s="16"/>
    </row>
    <row r="274" spans="1:10" ht="12.75">
      <c r="A274" s="331"/>
      <c r="B274" s="324" t="s">
        <v>670</v>
      </c>
      <c r="C274" s="34" t="s">
        <v>114</v>
      </c>
      <c r="D274" s="35" t="s">
        <v>488</v>
      </c>
      <c r="E274" s="34" t="s">
        <v>31</v>
      </c>
      <c r="F274" s="14">
        <v>1</v>
      </c>
      <c r="G274" s="15">
        <v>0.95</v>
      </c>
      <c r="H274" s="87">
        <f t="shared" si="27"/>
        <v>1.25</v>
      </c>
      <c r="I274" s="90">
        <f t="shared" si="28"/>
        <v>1.25</v>
      </c>
      <c r="J274" s="16"/>
    </row>
    <row r="275" spans="1:10" ht="12.75">
      <c r="A275" s="331"/>
      <c r="B275" s="324" t="s">
        <v>671</v>
      </c>
      <c r="C275" s="34" t="s">
        <v>114</v>
      </c>
      <c r="D275" s="35" t="s">
        <v>489</v>
      </c>
      <c r="E275" s="34" t="s">
        <v>31</v>
      </c>
      <c r="F275" s="14">
        <v>1</v>
      </c>
      <c r="G275" s="15">
        <v>1.3</v>
      </c>
      <c r="H275" s="87">
        <f t="shared" si="27"/>
        <v>1.71</v>
      </c>
      <c r="I275" s="90">
        <f t="shared" si="28"/>
        <v>1.71</v>
      </c>
      <c r="J275" s="16"/>
    </row>
    <row r="276" spans="1:10" ht="38.25">
      <c r="A276" s="331"/>
      <c r="B276" s="324" t="s">
        <v>672</v>
      </c>
      <c r="C276" s="34">
        <v>92695</v>
      </c>
      <c r="D276" s="35" t="s">
        <v>300</v>
      </c>
      <c r="E276" s="34" t="s">
        <v>31</v>
      </c>
      <c r="F276" s="14">
        <v>15</v>
      </c>
      <c r="G276" s="52">
        <v>13.57</v>
      </c>
      <c r="H276" s="87">
        <f t="shared" si="27"/>
        <v>17.84</v>
      </c>
      <c r="I276" s="90">
        <f t="shared" si="28"/>
        <v>267.6</v>
      </c>
      <c r="J276" s="16"/>
    </row>
    <row r="277" spans="1:10" ht="38.25">
      <c r="A277" s="331"/>
      <c r="B277" s="324" t="s">
        <v>673</v>
      </c>
      <c r="C277" s="34">
        <v>92697</v>
      </c>
      <c r="D277" s="35" t="s">
        <v>301</v>
      </c>
      <c r="E277" s="34" t="s">
        <v>31</v>
      </c>
      <c r="F277" s="14">
        <v>2</v>
      </c>
      <c r="G277" s="52">
        <v>21.97</v>
      </c>
      <c r="H277" s="87">
        <f t="shared" si="27"/>
        <v>28.89</v>
      </c>
      <c r="I277" s="90">
        <f t="shared" si="28"/>
        <v>57.78</v>
      </c>
      <c r="J277" s="16"/>
    </row>
    <row r="278" spans="1:10" ht="38.25">
      <c r="A278" s="331"/>
      <c r="B278" s="324" t="s">
        <v>674</v>
      </c>
      <c r="C278" s="34">
        <v>92662</v>
      </c>
      <c r="D278" s="35" t="s">
        <v>302</v>
      </c>
      <c r="E278" s="34" t="s">
        <v>31</v>
      </c>
      <c r="F278" s="14">
        <v>1</v>
      </c>
      <c r="G278" s="52">
        <v>22.86</v>
      </c>
      <c r="H278" s="87">
        <f t="shared" si="27"/>
        <v>30.06</v>
      </c>
      <c r="I278" s="90">
        <f t="shared" si="28"/>
        <v>30.06</v>
      </c>
      <c r="J278" s="16"/>
    </row>
    <row r="279" spans="1:10" ht="25.5">
      <c r="A279" s="331"/>
      <c r="B279" s="324" t="s">
        <v>675</v>
      </c>
      <c r="C279" s="34">
        <v>92868</v>
      </c>
      <c r="D279" s="35" t="s">
        <v>303</v>
      </c>
      <c r="E279" s="34" t="s">
        <v>31</v>
      </c>
      <c r="F279" s="14">
        <v>16</v>
      </c>
      <c r="G279" s="52">
        <v>8.87</v>
      </c>
      <c r="H279" s="87">
        <f t="shared" si="27"/>
        <v>11.66</v>
      </c>
      <c r="I279" s="90">
        <f t="shared" si="28"/>
        <v>186.56</v>
      </c>
      <c r="J279" s="16"/>
    </row>
    <row r="280" spans="1:10" ht="25.5">
      <c r="A280" s="331"/>
      <c r="B280" s="324" t="s">
        <v>676</v>
      </c>
      <c r="C280" s="34">
        <v>92865</v>
      </c>
      <c r="D280" s="35" t="s">
        <v>304</v>
      </c>
      <c r="E280" s="34" t="s">
        <v>31</v>
      </c>
      <c r="F280" s="14">
        <v>7</v>
      </c>
      <c r="G280" s="52">
        <v>6.59</v>
      </c>
      <c r="H280" s="87">
        <f t="shared" si="27"/>
        <v>8.66</v>
      </c>
      <c r="I280" s="90">
        <f t="shared" si="28"/>
        <v>60.62</v>
      </c>
      <c r="J280" s="16"/>
    </row>
    <row r="281" spans="1:10" ht="12.75">
      <c r="A281" s="331"/>
      <c r="B281" s="305" t="s">
        <v>677</v>
      </c>
      <c r="C281" s="172"/>
      <c r="D281" s="173" t="s">
        <v>305</v>
      </c>
      <c r="E281" s="174"/>
      <c r="F281" s="175"/>
      <c r="G281" s="170"/>
      <c r="H281" s="170">
        <f>ROUND(G281+(G281*$I$9),2)</f>
        <v>0</v>
      </c>
      <c r="I281" s="309">
        <f>ROUND((F281*H281),2)</f>
        <v>0</v>
      </c>
      <c r="J281" s="16"/>
    </row>
    <row r="282" spans="1:10" ht="25.5">
      <c r="A282" s="331"/>
      <c r="B282" s="324" t="s">
        <v>679</v>
      </c>
      <c r="C282" s="39">
        <v>91926</v>
      </c>
      <c r="D282" s="35" t="s">
        <v>306</v>
      </c>
      <c r="E282" s="39" t="s">
        <v>48</v>
      </c>
      <c r="F282" s="14">
        <v>190</v>
      </c>
      <c r="G282" s="52">
        <v>2.07</v>
      </c>
      <c r="H282" s="87">
        <f>ROUND(G282+(G282*$I$9),2)</f>
        <v>2.72</v>
      </c>
      <c r="I282" s="90">
        <f>ROUND((F282*H282),2)</f>
        <v>516.8</v>
      </c>
      <c r="J282" s="16"/>
    </row>
    <row r="283" spans="1:10" ht="25.5">
      <c r="A283" s="331"/>
      <c r="B283" s="324" t="s">
        <v>681</v>
      </c>
      <c r="C283" s="39">
        <v>91928</v>
      </c>
      <c r="D283" s="35" t="s">
        <v>307</v>
      </c>
      <c r="E283" s="39" t="s">
        <v>48</v>
      </c>
      <c r="F283" s="14">
        <v>820</v>
      </c>
      <c r="G283" s="52">
        <v>3.28</v>
      </c>
      <c r="H283" s="87">
        <f>ROUND(G283+(G283*$I$9),2)</f>
        <v>4.31</v>
      </c>
      <c r="I283" s="90">
        <f>ROUND((F283*H283),2)</f>
        <v>3534.2</v>
      </c>
      <c r="J283" s="16"/>
    </row>
    <row r="284" spans="1:10" ht="25.5">
      <c r="A284" s="331"/>
      <c r="B284" s="324" t="s">
        <v>682</v>
      </c>
      <c r="C284" s="39">
        <v>91934</v>
      </c>
      <c r="D284" s="35" t="s">
        <v>308</v>
      </c>
      <c r="E284" s="39" t="s">
        <v>48</v>
      </c>
      <c r="F284" s="14">
        <v>14</v>
      </c>
      <c r="G284" s="52">
        <v>11.07</v>
      </c>
      <c r="H284" s="87">
        <f>ROUND(G284+(G284*$I$9),2)</f>
        <v>14.55</v>
      </c>
      <c r="I284" s="90">
        <f>ROUND((F284*H284),2)</f>
        <v>203.7</v>
      </c>
      <c r="J284" s="16"/>
    </row>
    <row r="285" spans="1:10" ht="25.5">
      <c r="A285" s="331"/>
      <c r="B285" s="324" t="s">
        <v>680</v>
      </c>
      <c r="C285" s="39">
        <v>92985</v>
      </c>
      <c r="D285" s="35" t="s">
        <v>309</v>
      </c>
      <c r="E285" s="39" t="s">
        <v>48</v>
      </c>
      <c r="F285" s="14">
        <v>41</v>
      </c>
      <c r="G285" s="52">
        <v>16.45</v>
      </c>
      <c r="H285" s="87">
        <f>ROUND(G285+(G285*$I$9),2)</f>
        <v>21.63</v>
      </c>
      <c r="I285" s="90">
        <f>ROUND((F285*H285),2)</f>
        <v>886.83</v>
      </c>
      <c r="J285" s="16"/>
    </row>
    <row r="286" spans="1:10" ht="12.75">
      <c r="A286" s="331"/>
      <c r="B286" s="305" t="s">
        <v>678</v>
      </c>
      <c r="C286" s="172"/>
      <c r="D286" s="173" t="s">
        <v>310</v>
      </c>
      <c r="E286" s="174"/>
      <c r="F286" s="175"/>
      <c r="G286" s="170"/>
      <c r="H286" s="170">
        <f>ROUND(G286+(G286*$I$9),2)</f>
        <v>0</v>
      </c>
      <c r="I286" s="309">
        <f>ROUND((F286*H286),2)</f>
        <v>0</v>
      </c>
      <c r="J286" s="16"/>
    </row>
    <row r="287" spans="1:10" ht="25.5">
      <c r="A287" s="331"/>
      <c r="B287" s="324" t="s">
        <v>683</v>
      </c>
      <c r="C287" s="39">
        <v>92000</v>
      </c>
      <c r="D287" s="35" t="s">
        <v>311</v>
      </c>
      <c r="E287" s="39" t="s">
        <v>31</v>
      </c>
      <c r="F287" s="14">
        <v>4</v>
      </c>
      <c r="G287" s="52">
        <v>17.92</v>
      </c>
      <c r="H287" s="87">
        <f>ROUND(G287+(G287*$I$9),2)</f>
        <v>23.56</v>
      </c>
      <c r="I287" s="90">
        <f>ROUND((F287*H287),2)</f>
        <v>94.24</v>
      </c>
      <c r="J287" s="16"/>
    </row>
    <row r="288" spans="1:10" ht="25.5">
      <c r="A288" s="331"/>
      <c r="B288" s="324" t="s">
        <v>684</v>
      </c>
      <c r="C288" s="39">
        <v>92001</v>
      </c>
      <c r="D288" s="35" t="s">
        <v>312</v>
      </c>
      <c r="E288" s="39" t="s">
        <v>31</v>
      </c>
      <c r="F288" s="14">
        <v>1</v>
      </c>
      <c r="G288" s="52">
        <v>19.46</v>
      </c>
      <c r="H288" s="87">
        <f>ROUND(G288+(G288*$I$9),2)</f>
        <v>25.59</v>
      </c>
      <c r="I288" s="90">
        <f>ROUND((F288*H288),2)</f>
        <v>25.59</v>
      </c>
      <c r="J288" s="16"/>
    </row>
    <row r="289" spans="1:10" ht="25.5">
      <c r="A289" s="331"/>
      <c r="B289" s="324" t="s">
        <v>685</v>
      </c>
      <c r="C289" s="34">
        <v>91953</v>
      </c>
      <c r="D289" s="35" t="s">
        <v>313</v>
      </c>
      <c r="E289" s="39" t="s">
        <v>31</v>
      </c>
      <c r="F289" s="14">
        <v>7</v>
      </c>
      <c r="G289" s="52">
        <v>16.94</v>
      </c>
      <c r="H289" s="87">
        <f>ROUND(G289+(G289*$I$9),2)</f>
        <v>22.27</v>
      </c>
      <c r="I289" s="90">
        <f>ROUND((F289*H289),2)</f>
        <v>155.89</v>
      </c>
      <c r="J289" s="16"/>
    </row>
    <row r="290" spans="1:10" ht="25.5">
      <c r="A290" s="331"/>
      <c r="B290" s="324" t="s">
        <v>686</v>
      </c>
      <c r="C290" s="34">
        <v>97584</v>
      </c>
      <c r="D290" s="35" t="s">
        <v>314</v>
      </c>
      <c r="E290" s="34" t="s">
        <v>31</v>
      </c>
      <c r="F290" s="14">
        <v>1</v>
      </c>
      <c r="G290" s="52">
        <v>54.06</v>
      </c>
      <c r="H290" s="87">
        <f>ROUND(G290+(G290*$I$9),2)</f>
        <v>71.08</v>
      </c>
      <c r="I290" s="90">
        <f>ROUND((F290*H290),2)</f>
        <v>71.08</v>
      </c>
      <c r="J290" s="16"/>
    </row>
    <row r="291" spans="1:10" ht="25.5">
      <c r="A291" s="331"/>
      <c r="B291" s="324" t="s">
        <v>687</v>
      </c>
      <c r="C291" s="34">
        <v>97586</v>
      </c>
      <c r="D291" s="35" t="s">
        <v>315</v>
      </c>
      <c r="E291" s="34" t="s">
        <v>31</v>
      </c>
      <c r="F291" s="14">
        <v>6</v>
      </c>
      <c r="G291" s="52">
        <v>71.51</v>
      </c>
      <c r="H291" s="87">
        <f>ROUND(G291+(G291*$I$9),2)</f>
        <v>94.02</v>
      </c>
      <c r="I291" s="90">
        <f>ROUND((F291*H291),2)</f>
        <v>564.12</v>
      </c>
      <c r="J291" s="16"/>
    </row>
    <row r="292" spans="1:10" ht="38.25">
      <c r="A292" s="331"/>
      <c r="B292" s="324" t="s">
        <v>688</v>
      </c>
      <c r="C292" s="34" t="s">
        <v>316</v>
      </c>
      <c r="D292" s="19" t="s">
        <v>317</v>
      </c>
      <c r="E292" s="34" t="s">
        <v>31</v>
      </c>
      <c r="F292" s="14">
        <v>20</v>
      </c>
      <c r="G292" s="15">
        <v>415.15</v>
      </c>
      <c r="H292" s="87">
        <f>ROUND(G292+(G292*$I$9),2)</f>
        <v>545.84</v>
      </c>
      <c r="I292" s="90">
        <f>ROUND((F292*H292),2)</f>
        <v>10916.8</v>
      </c>
      <c r="J292" s="16"/>
    </row>
    <row r="293" spans="1:10" ht="26.25" customHeight="1">
      <c r="A293" s="331"/>
      <c r="B293" s="303">
        <v>22</v>
      </c>
      <c r="C293" s="9"/>
      <c r="D293" s="113" t="s">
        <v>318</v>
      </c>
      <c r="E293" s="8"/>
      <c r="F293" s="30"/>
      <c r="G293" s="32"/>
      <c r="H293" s="32"/>
      <c r="I293" s="304">
        <f>SUM(I294:I301)</f>
        <v>17066.5</v>
      </c>
      <c r="J293" s="16"/>
    </row>
    <row r="294" spans="1:10" ht="25.5">
      <c r="A294" s="331"/>
      <c r="B294" s="324" t="s">
        <v>689</v>
      </c>
      <c r="C294" s="27" t="s">
        <v>320</v>
      </c>
      <c r="D294" s="37" t="s">
        <v>321</v>
      </c>
      <c r="E294" s="18" t="s">
        <v>31</v>
      </c>
      <c r="F294" s="14">
        <v>7</v>
      </c>
      <c r="G294" s="15">
        <v>843.03</v>
      </c>
      <c r="H294" s="87">
        <f>ROUND(G294+(G294*$I$9),2)</f>
        <v>1108.42</v>
      </c>
      <c r="I294" s="90">
        <f>ROUND((F294*H294),2)</f>
        <v>7758.94</v>
      </c>
      <c r="J294" s="16"/>
    </row>
    <row r="295" spans="1:10" ht="38.25">
      <c r="A295" s="331"/>
      <c r="B295" s="324" t="s">
        <v>690</v>
      </c>
      <c r="C295" s="27" t="s">
        <v>323</v>
      </c>
      <c r="D295" s="37" t="s">
        <v>324</v>
      </c>
      <c r="E295" s="18" t="s">
        <v>31</v>
      </c>
      <c r="F295" s="14">
        <v>1</v>
      </c>
      <c r="G295" s="15">
        <v>172.16</v>
      </c>
      <c r="H295" s="87">
        <f aca="true" t="shared" si="29" ref="H295:H301">ROUND(G295+(G295*$I$9),2)</f>
        <v>226.36</v>
      </c>
      <c r="I295" s="90">
        <f aca="true" t="shared" si="30" ref="I295:I301">ROUND((F295*H295),2)</f>
        <v>226.36</v>
      </c>
      <c r="J295" s="16"/>
    </row>
    <row r="296" spans="1:10" ht="25.5">
      <c r="A296" s="331"/>
      <c r="B296" s="324" t="s">
        <v>691</v>
      </c>
      <c r="C296" s="27">
        <v>96973</v>
      </c>
      <c r="D296" s="37" t="s">
        <v>410</v>
      </c>
      <c r="E296" s="58" t="s">
        <v>48</v>
      </c>
      <c r="F296" s="14">
        <v>39.2</v>
      </c>
      <c r="G296" s="15">
        <v>31.89</v>
      </c>
      <c r="H296" s="87">
        <f t="shared" si="29"/>
        <v>41.93</v>
      </c>
      <c r="I296" s="90">
        <f t="shared" si="30"/>
        <v>1643.66</v>
      </c>
      <c r="J296" s="16"/>
    </row>
    <row r="297" spans="1:10" ht="25.5">
      <c r="A297" s="331"/>
      <c r="B297" s="324" t="s">
        <v>692</v>
      </c>
      <c r="C297" s="27">
        <v>96974</v>
      </c>
      <c r="D297" s="37" t="s">
        <v>411</v>
      </c>
      <c r="E297" s="58" t="s">
        <v>48</v>
      </c>
      <c r="F297" s="14">
        <v>126.32</v>
      </c>
      <c r="G297" s="15">
        <v>40.2</v>
      </c>
      <c r="H297" s="87">
        <f t="shared" si="29"/>
        <v>52.85</v>
      </c>
      <c r="I297" s="90">
        <f t="shared" si="30"/>
        <v>6676.01</v>
      </c>
      <c r="J297" s="16"/>
    </row>
    <row r="298" spans="1:10" ht="25.5">
      <c r="A298" s="331"/>
      <c r="B298" s="324" t="s">
        <v>693</v>
      </c>
      <c r="C298" s="36">
        <v>93008</v>
      </c>
      <c r="D298" s="37" t="s">
        <v>412</v>
      </c>
      <c r="E298" s="58" t="s">
        <v>48</v>
      </c>
      <c r="F298" s="14">
        <v>21</v>
      </c>
      <c r="G298" s="15">
        <v>9.04</v>
      </c>
      <c r="H298" s="87">
        <f t="shared" si="29"/>
        <v>11.89</v>
      </c>
      <c r="I298" s="90">
        <f t="shared" si="30"/>
        <v>249.69</v>
      </c>
      <c r="J298" s="16"/>
    </row>
    <row r="299" spans="1:10" ht="25.5">
      <c r="A299" s="331"/>
      <c r="B299" s="324" t="s">
        <v>694</v>
      </c>
      <c r="C299" s="36" t="s">
        <v>326</v>
      </c>
      <c r="D299" s="37" t="s">
        <v>327</v>
      </c>
      <c r="E299" s="18" t="s">
        <v>31</v>
      </c>
      <c r="F299" s="14">
        <v>7</v>
      </c>
      <c r="G299" s="15">
        <v>18.34</v>
      </c>
      <c r="H299" s="87">
        <f t="shared" si="29"/>
        <v>24.11</v>
      </c>
      <c r="I299" s="90">
        <f t="shared" si="30"/>
        <v>168.77</v>
      </c>
      <c r="J299" s="16"/>
    </row>
    <row r="300" spans="1:10" ht="12.75">
      <c r="A300" s="331"/>
      <c r="B300" s="324" t="s">
        <v>695</v>
      </c>
      <c r="C300" s="36" t="s">
        <v>481</v>
      </c>
      <c r="D300" s="37" t="s">
        <v>533</v>
      </c>
      <c r="E300" s="18" t="s">
        <v>31</v>
      </c>
      <c r="F300" s="14">
        <v>7</v>
      </c>
      <c r="G300" s="15">
        <v>24.42</v>
      </c>
      <c r="H300" s="87">
        <f t="shared" si="29"/>
        <v>32.11</v>
      </c>
      <c r="I300" s="90">
        <f t="shared" si="30"/>
        <v>224.77</v>
      </c>
      <c r="J300" s="16"/>
    </row>
    <row r="301" spans="1:10" ht="24.75" customHeight="1">
      <c r="A301" s="331"/>
      <c r="B301" s="324" t="s">
        <v>696</v>
      </c>
      <c r="C301" s="36">
        <v>72262</v>
      </c>
      <c r="D301" s="19" t="s">
        <v>482</v>
      </c>
      <c r="E301" s="18" t="s">
        <v>31</v>
      </c>
      <c r="F301" s="14">
        <v>7</v>
      </c>
      <c r="G301" s="15">
        <v>12.85</v>
      </c>
      <c r="H301" s="87">
        <f t="shared" si="29"/>
        <v>16.9</v>
      </c>
      <c r="I301" s="90">
        <f t="shared" si="30"/>
        <v>118.3</v>
      </c>
      <c r="J301" s="16"/>
    </row>
    <row r="302" spans="1:10" ht="24" customHeight="1">
      <c r="A302" s="331"/>
      <c r="B302" s="303">
        <v>23</v>
      </c>
      <c r="C302" s="9"/>
      <c r="D302" s="113" t="s">
        <v>328</v>
      </c>
      <c r="E302" s="8"/>
      <c r="F302" s="30"/>
      <c r="G302" s="32"/>
      <c r="H302" s="32"/>
      <c r="I302" s="304">
        <f>SUM(I303:I311)</f>
        <v>40810.520000000004</v>
      </c>
      <c r="J302" s="16"/>
    </row>
    <row r="303" spans="1:10" ht="12.75">
      <c r="A303" s="331"/>
      <c r="B303" s="325" t="s">
        <v>697</v>
      </c>
      <c r="C303" s="166"/>
      <c r="D303" s="168" t="s">
        <v>330</v>
      </c>
      <c r="E303" s="166"/>
      <c r="F303" s="169"/>
      <c r="G303" s="170"/>
      <c r="H303" s="170">
        <f aca="true" t="shared" si="31" ref="H303:H311">ROUND(G303+(G303*$I$9),2)</f>
        <v>0</v>
      </c>
      <c r="I303" s="309">
        <f aca="true" t="shared" si="32" ref="I303:I311">ROUND((F303*H303),2)</f>
        <v>0</v>
      </c>
      <c r="J303" s="16"/>
    </row>
    <row r="304" spans="1:10" ht="25.5">
      <c r="A304" s="331"/>
      <c r="B304" s="316" t="s">
        <v>699</v>
      </c>
      <c r="C304" s="27" t="s">
        <v>331</v>
      </c>
      <c r="D304" s="35" t="s">
        <v>332</v>
      </c>
      <c r="E304" s="11" t="s">
        <v>27</v>
      </c>
      <c r="F304" s="14">
        <v>2.5</v>
      </c>
      <c r="G304" s="15">
        <v>283.29</v>
      </c>
      <c r="H304" s="87">
        <f t="shared" si="31"/>
        <v>372.47</v>
      </c>
      <c r="I304" s="90">
        <f t="shared" si="32"/>
        <v>931.18</v>
      </c>
      <c r="J304" s="16"/>
    </row>
    <row r="305" spans="1:10" ht="12.75">
      <c r="A305" s="331"/>
      <c r="B305" s="316" t="s">
        <v>700</v>
      </c>
      <c r="C305" s="27" t="s">
        <v>333</v>
      </c>
      <c r="D305" s="35" t="s">
        <v>334</v>
      </c>
      <c r="E305" s="18" t="s">
        <v>31</v>
      </c>
      <c r="F305" s="14">
        <v>2</v>
      </c>
      <c r="G305" s="15">
        <v>1329.31</v>
      </c>
      <c r="H305" s="87">
        <f>ROUND(G305+(G305*$I$9),2)</f>
        <v>1747.78</v>
      </c>
      <c r="I305" s="90">
        <f>ROUND((F305*H305),2)</f>
        <v>3495.56</v>
      </c>
      <c r="J305" s="16"/>
    </row>
    <row r="306" spans="1:10" ht="12.75">
      <c r="A306" s="331"/>
      <c r="B306" s="316" t="s">
        <v>701</v>
      </c>
      <c r="C306" s="27" t="s">
        <v>335</v>
      </c>
      <c r="D306" s="35" t="s">
        <v>336</v>
      </c>
      <c r="E306" s="18" t="s">
        <v>31</v>
      </c>
      <c r="F306" s="14">
        <v>2</v>
      </c>
      <c r="G306" s="15">
        <v>611.25</v>
      </c>
      <c r="H306" s="87">
        <f>ROUND(G306+(G306*$I$9),2)</f>
        <v>803.67</v>
      </c>
      <c r="I306" s="90">
        <f>ROUND((F306*H306),2)</f>
        <v>1607.34</v>
      </c>
      <c r="J306" s="16"/>
    </row>
    <row r="307" spans="1:10" ht="12.75">
      <c r="A307" s="331"/>
      <c r="B307" s="316" t="s">
        <v>702</v>
      </c>
      <c r="C307" s="27" t="s">
        <v>337</v>
      </c>
      <c r="D307" s="35" t="s">
        <v>338</v>
      </c>
      <c r="E307" s="18" t="s">
        <v>299</v>
      </c>
      <c r="F307" s="14">
        <v>1</v>
      </c>
      <c r="G307" s="15">
        <v>654</v>
      </c>
      <c r="H307" s="87">
        <f>ROUND(G307+(G307*$I$9),2)</f>
        <v>859.88</v>
      </c>
      <c r="I307" s="90">
        <f>ROUND((F307*H307),2)</f>
        <v>859.88</v>
      </c>
      <c r="J307" s="16"/>
    </row>
    <row r="308" spans="1:10" ht="25.5">
      <c r="A308" s="331"/>
      <c r="B308" s="316" t="s">
        <v>703</v>
      </c>
      <c r="C308" s="41">
        <v>84862</v>
      </c>
      <c r="D308" s="35" t="s">
        <v>339</v>
      </c>
      <c r="E308" s="23" t="s">
        <v>48</v>
      </c>
      <c r="F308" s="14">
        <v>9.6</v>
      </c>
      <c r="G308" s="15">
        <v>199.64</v>
      </c>
      <c r="H308" s="87">
        <f>ROUND(G308+(G308*$I$9),2)</f>
        <v>262.49</v>
      </c>
      <c r="I308" s="90">
        <f>ROUND((F308*H308),2)</f>
        <v>2519.9</v>
      </c>
      <c r="J308" s="16"/>
    </row>
    <row r="309" spans="1:10" ht="12.75">
      <c r="A309" s="331"/>
      <c r="B309" s="325" t="s">
        <v>698</v>
      </c>
      <c r="C309" s="167"/>
      <c r="D309" s="168" t="s">
        <v>341</v>
      </c>
      <c r="E309" s="167"/>
      <c r="F309" s="169"/>
      <c r="G309" s="170"/>
      <c r="H309" s="170">
        <f t="shared" si="31"/>
        <v>0</v>
      </c>
      <c r="I309" s="309">
        <f t="shared" si="32"/>
        <v>0</v>
      </c>
      <c r="J309" s="16"/>
    </row>
    <row r="310" spans="1:10" ht="51">
      <c r="A310" s="331"/>
      <c r="B310" s="316" t="s">
        <v>704</v>
      </c>
      <c r="C310" s="41" t="s">
        <v>342</v>
      </c>
      <c r="D310" s="35" t="s">
        <v>343</v>
      </c>
      <c r="E310" s="11" t="s">
        <v>27</v>
      </c>
      <c r="F310" s="14">
        <v>201</v>
      </c>
      <c r="G310" s="15">
        <v>107.65</v>
      </c>
      <c r="H310" s="87">
        <f t="shared" si="31"/>
        <v>141.54</v>
      </c>
      <c r="I310" s="90">
        <f t="shared" si="32"/>
        <v>28449.54</v>
      </c>
      <c r="J310" s="16"/>
    </row>
    <row r="311" spans="1:10" ht="25.5">
      <c r="A311" s="331"/>
      <c r="B311" s="316" t="s">
        <v>705</v>
      </c>
      <c r="C311" s="27" t="s">
        <v>344</v>
      </c>
      <c r="D311" s="35" t="s">
        <v>345</v>
      </c>
      <c r="E311" s="11" t="s">
        <v>27</v>
      </c>
      <c r="F311" s="14">
        <f>4*(2.1*0.8)</f>
        <v>6.720000000000001</v>
      </c>
      <c r="G311" s="15">
        <v>333.56</v>
      </c>
      <c r="H311" s="87">
        <f t="shared" si="31"/>
        <v>438.56</v>
      </c>
      <c r="I311" s="90">
        <f t="shared" si="32"/>
        <v>2947.12</v>
      </c>
      <c r="J311" s="16"/>
    </row>
    <row r="312" spans="1:11" ht="24.75" customHeight="1">
      <c r="A312" s="331"/>
      <c r="B312" s="303">
        <v>24</v>
      </c>
      <c r="C312" s="9"/>
      <c r="D312" s="113" t="s">
        <v>346</v>
      </c>
      <c r="E312" s="8"/>
      <c r="F312" s="30"/>
      <c r="G312" s="32"/>
      <c r="H312" s="32"/>
      <c r="I312" s="304">
        <f>SUM(I313:I314)</f>
        <v>2574.56</v>
      </c>
      <c r="J312" s="342"/>
      <c r="K312" s="57"/>
    </row>
    <row r="313" spans="1:11" ht="12.75">
      <c r="A313" s="331"/>
      <c r="B313" s="315" t="s">
        <v>706</v>
      </c>
      <c r="C313" s="59">
        <v>9537</v>
      </c>
      <c r="D313" s="60" t="s">
        <v>348</v>
      </c>
      <c r="E313" s="61" t="s">
        <v>27</v>
      </c>
      <c r="F313" s="14">
        <f>676.67+296.01+21.9+64.91</f>
        <v>1059.49</v>
      </c>
      <c r="G313" s="15">
        <v>1.85</v>
      </c>
      <c r="H313" s="87">
        <f>ROUND(G313+(G313*$I$9),2)</f>
        <v>2.43</v>
      </c>
      <c r="I313" s="90">
        <f>ROUND((F313*H313),2)</f>
        <v>2574.56</v>
      </c>
      <c r="J313" s="342"/>
      <c r="K313" s="57"/>
    </row>
    <row r="314" spans="1:11" ht="15.75" customHeight="1">
      <c r="A314" s="331"/>
      <c r="B314" s="326"/>
      <c r="C314" s="62"/>
      <c r="D314" s="63"/>
      <c r="E314" s="64"/>
      <c r="F314" s="65"/>
      <c r="G314" s="15"/>
      <c r="H314" s="15">
        <f>ROUND(G314+(G314*$I$9),2)</f>
        <v>0</v>
      </c>
      <c r="I314" s="296">
        <f>ROUND((F314*H314),2)</f>
        <v>0</v>
      </c>
      <c r="J314" s="342"/>
      <c r="K314" s="57"/>
    </row>
    <row r="315" spans="1:11" ht="23.25" customHeight="1">
      <c r="A315" s="331"/>
      <c r="B315" s="442" t="s">
        <v>349</v>
      </c>
      <c r="C315" s="443"/>
      <c r="D315" s="443"/>
      <c r="E315" s="443"/>
      <c r="F315" s="443"/>
      <c r="G315" s="443"/>
      <c r="H315" s="443"/>
      <c r="I315" s="399">
        <f>I28+I62+I68+I83+I107+I115+I129+I132+I135+I141+I152+I161+I201+I223+I227+I242+I248+I293+I302+I312+I14+I47+I43+I22</f>
        <v>1504312.9</v>
      </c>
      <c r="J315" s="398">
        <v>1140728.61</v>
      </c>
      <c r="K315" s="57"/>
    </row>
    <row r="316" spans="1:11" ht="14.25" customHeight="1">
      <c r="A316" s="331"/>
      <c r="B316" s="327"/>
      <c r="C316" s="66"/>
      <c r="D316" s="105"/>
      <c r="E316" s="66"/>
      <c r="F316" s="66"/>
      <c r="G316" s="67"/>
      <c r="H316" s="67"/>
      <c r="I316" s="328"/>
      <c r="J316" s="57"/>
      <c r="K316" s="57"/>
    </row>
    <row r="317" spans="1:11" ht="14.25" customHeight="1">
      <c r="A317" s="331"/>
      <c r="B317" s="444"/>
      <c r="C317" s="445"/>
      <c r="D317" s="445"/>
      <c r="E317" s="445"/>
      <c r="F317" s="445"/>
      <c r="G317" s="445"/>
      <c r="H317" s="445"/>
      <c r="I317" s="446"/>
      <c r="J317" s="57"/>
      <c r="K317" s="57"/>
    </row>
    <row r="318" spans="1:11" ht="14.25" customHeight="1">
      <c r="A318" s="331"/>
      <c r="B318" s="329"/>
      <c r="C318" s="68"/>
      <c r="D318" s="106"/>
      <c r="E318" s="68"/>
      <c r="F318" s="68"/>
      <c r="G318" s="69"/>
      <c r="H318" s="69"/>
      <c r="I318" s="330"/>
      <c r="J318" s="57"/>
      <c r="K318" s="57"/>
    </row>
    <row r="319" spans="1:11" ht="14.25" customHeight="1">
      <c r="A319" s="331"/>
      <c r="B319" s="329"/>
      <c r="C319" s="68"/>
      <c r="D319" s="106"/>
      <c r="E319" s="68"/>
      <c r="F319" s="68"/>
      <c r="G319" s="69"/>
      <c r="H319" s="69"/>
      <c r="I319" s="330"/>
      <c r="J319" s="57"/>
      <c r="K319" s="57"/>
    </row>
    <row r="320" spans="1:11" ht="14.25">
      <c r="A320" s="331"/>
      <c r="B320" s="447" t="s">
        <v>350</v>
      </c>
      <c r="C320" s="448"/>
      <c r="D320" s="448"/>
      <c r="E320" s="426" t="s">
        <v>759</v>
      </c>
      <c r="F320" s="426"/>
      <c r="G320" s="426"/>
      <c r="H320" s="426"/>
      <c r="I320" s="427"/>
      <c r="J320" s="57"/>
      <c r="K320" s="57"/>
    </row>
    <row r="321" spans="1:9" ht="15">
      <c r="A321" s="331"/>
      <c r="B321" s="449" t="s">
        <v>351</v>
      </c>
      <c r="C321" s="450"/>
      <c r="D321" s="450"/>
      <c r="E321" s="428" t="s">
        <v>761</v>
      </c>
      <c r="F321" s="428"/>
      <c r="G321" s="428"/>
      <c r="H321" s="428"/>
      <c r="I321" s="429"/>
    </row>
    <row r="322" spans="1:14" ht="15.75" customHeight="1">
      <c r="A322" s="331"/>
      <c r="B322" s="331"/>
      <c r="C322" s="109"/>
      <c r="D322" s="107"/>
      <c r="E322" s="109"/>
      <c r="F322" s="57"/>
      <c r="G322" s="70"/>
      <c r="H322" s="70"/>
      <c r="I322" s="332"/>
      <c r="N322" s="16"/>
    </row>
    <row r="323" spans="1:14" ht="11.25" customHeight="1">
      <c r="A323" s="331"/>
      <c r="B323" s="430" t="s">
        <v>752</v>
      </c>
      <c r="C323" s="431"/>
      <c r="D323" s="431"/>
      <c r="E323" s="431"/>
      <c r="F323" s="431"/>
      <c r="G323" s="431"/>
      <c r="H323" s="431"/>
      <c r="I323" s="432"/>
      <c r="N323" s="16"/>
    </row>
    <row r="324" spans="1:14" ht="14.25" customHeight="1">
      <c r="A324" s="331"/>
      <c r="B324" s="430"/>
      <c r="C324" s="431"/>
      <c r="D324" s="431"/>
      <c r="E324" s="431"/>
      <c r="F324" s="431"/>
      <c r="G324" s="431"/>
      <c r="H324" s="431"/>
      <c r="I324" s="432"/>
      <c r="N324" s="16"/>
    </row>
    <row r="325" spans="1:9" ht="14.25" customHeight="1">
      <c r="A325" s="331"/>
      <c r="B325" s="329"/>
      <c r="C325" s="71"/>
      <c r="D325" s="100"/>
      <c r="E325" s="71"/>
      <c r="F325" s="71"/>
      <c r="G325" s="72"/>
      <c r="H325" s="72"/>
      <c r="I325" s="333"/>
    </row>
    <row r="326" spans="1:9" ht="14.25" customHeight="1">
      <c r="A326" s="331"/>
      <c r="B326" s="329"/>
      <c r="C326" s="71"/>
      <c r="D326" s="100"/>
      <c r="E326" s="71"/>
      <c r="F326" s="71"/>
      <c r="G326" s="72"/>
      <c r="H326" s="72"/>
      <c r="I326" s="333"/>
    </row>
    <row r="327" spans="1:9" ht="14.25" customHeight="1">
      <c r="A327" s="331"/>
      <c r="B327" s="329"/>
      <c r="C327" s="71"/>
      <c r="D327" s="100"/>
      <c r="E327" s="71"/>
      <c r="F327" s="71"/>
      <c r="G327" s="72"/>
      <c r="H327" s="72"/>
      <c r="I327" s="333"/>
    </row>
    <row r="328" spans="1:10" ht="12.75">
      <c r="A328" s="331"/>
      <c r="B328" s="334"/>
      <c r="C328" s="68"/>
      <c r="D328" s="106"/>
      <c r="E328" s="68"/>
      <c r="F328" s="68"/>
      <c r="G328" s="69"/>
      <c r="H328" s="69"/>
      <c r="I328" s="330"/>
      <c r="J328"/>
    </row>
    <row r="329" spans="1:10" ht="12.75">
      <c r="A329" s="331"/>
      <c r="B329" s="334"/>
      <c r="C329" s="68"/>
      <c r="D329" s="106"/>
      <c r="E329" s="68"/>
      <c r="F329" s="68"/>
      <c r="G329" s="69"/>
      <c r="H329" s="69"/>
      <c r="I329" s="330"/>
      <c r="J329"/>
    </row>
    <row r="330" spans="1:255" ht="11.25" customHeight="1" thickBot="1">
      <c r="A330" s="349"/>
      <c r="B330" s="335"/>
      <c r="C330" s="336"/>
      <c r="D330" s="337"/>
      <c r="E330" s="338"/>
      <c r="F330" s="339"/>
      <c r="G330" s="340"/>
      <c r="H330" s="340"/>
      <c r="I330" s="341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</row>
    <row r="331" ht="12" customHeight="1"/>
    <row r="332" ht="13.5" customHeight="1"/>
    <row r="333" ht="13.5" customHeight="1"/>
    <row r="334" ht="4.5" customHeight="1"/>
  </sheetData>
  <sheetProtection selectLockedCells="1" selectUnlockedCells="1"/>
  <mergeCells count="24">
    <mergeCell ref="E320:I320"/>
    <mergeCell ref="E321:I321"/>
    <mergeCell ref="B323:I324"/>
    <mergeCell ref="B10:I10"/>
    <mergeCell ref="B11:I11"/>
    <mergeCell ref="B12:I12"/>
    <mergeCell ref="B315:H315"/>
    <mergeCell ref="B317:I317"/>
    <mergeCell ref="B320:D320"/>
    <mergeCell ref="B321:D321"/>
    <mergeCell ref="B6:F6"/>
    <mergeCell ref="G6:I6"/>
    <mergeCell ref="B7:E7"/>
    <mergeCell ref="F7:I7"/>
    <mergeCell ref="B8:E8"/>
    <mergeCell ref="F8:F9"/>
    <mergeCell ref="G8:G9"/>
    <mergeCell ref="B9:E9"/>
    <mergeCell ref="B5:F5"/>
    <mergeCell ref="G5:I5"/>
    <mergeCell ref="B1:C1"/>
    <mergeCell ref="D1:I1"/>
    <mergeCell ref="B2:I2"/>
    <mergeCell ref="B3:I3"/>
  </mergeCells>
  <conditionalFormatting sqref="E314">
    <cfRule type="cellIs" priority="3" dxfId="6" operator="equal" stopIfTrue="1">
      <formula>0</formula>
    </cfRule>
  </conditionalFormatting>
  <conditionalFormatting sqref="E43 E45:E46">
    <cfRule type="cellIs" priority="2" dxfId="6" operator="equal" stopIfTrue="1">
      <formula>0</formula>
    </cfRule>
  </conditionalFormatting>
  <conditionalFormatting sqref="E48 E50:E51 E55:E61">
    <cfRule type="cellIs" priority="1" dxfId="6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55" r:id="rId2"/>
  <rowBreaks count="8" manualBreakCount="8">
    <brk id="53" min="1" max="8" man="1"/>
    <brk id="93" min="1" max="8" man="1"/>
    <brk id="125" min="1" max="8" man="1"/>
    <brk id="155" min="1" max="8" man="1"/>
    <brk id="190" min="1" max="8" man="1"/>
    <brk id="222" min="1" max="8" man="1"/>
    <brk id="268" min="1" max="8" man="1"/>
    <brk id="305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showZeros="0" tabSelected="1" view="pageBreakPreview" zoomScaleSheetLayoutView="100" zoomScalePageLayoutView="0" workbookViewId="0" topLeftCell="A34">
      <selection activeCell="D57" sqref="A1:H57"/>
    </sheetView>
  </sheetViews>
  <sheetFormatPr defaultColWidth="9.140625" defaultRowHeight="12.75"/>
  <cols>
    <col min="1" max="1" width="9.140625" style="73" customWidth="1"/>
    <col min="2" max="2" width="39.28125" style="73" customWidth="1"/>
    <col min="3" max="3" width="12.7109375" style="73" customWidth="1"/>
    <col min="4" max="7" width="11.7109375" style="73" customWidth="1"/>
    <col min="8" max="8" width="13.00390625" style="73" customWidth="1"/>
    <col min="9" max="16384" width="9.140625" style="73" customWidth="1"/>
  </cols>
  <sheetData>
    <row r="1" spans="1:8" ht="23.25">
      <c r="A1" s="459" t="s">
        <v>352</v>
      </c>
      <c r="B1" s="460"/>
      <c r="C1" s="460"/>
      <c r="D1" s="460"/>
      <c r="E1" s="460"/>
      <c r="F1" s="460"/>
      <c r="G1" s="460"/>
      <c r="H1" s="461"/>
    </row>
    <row r="2" spans="1:8" ht="15" customHeight="1">
      <c r="A2" s="277"/>
      <c r="B2" s="462" t="str">
        <f>'ORÇAMENTARIA GERAL'!B6:F6</f>
        <v>OBRA: CONSTRUÇÃO DA QUADRA DA ESCOLA DONA MARIA AUGUSTA</v>
      </c>
      <c r="C2" s="462"/>
      <c r="D2" s="462"/>
      <c r="E2" s="462"/>
      <c r="F2" s="462"/>
      <c r="G2" s="462"/>
      <c r="H2" s="278"/>
    </row>
    <row r="3" spans="1:8" ht="38.25">
      <c r="A3" s="463" t="str">
        <f>'[6]ORÇAMENTARIA MODELO'!A5:E5</f>
        <v>CONVENENTE: PREFEITURA MUNICIPAL DE LAGOA SANTA</v>
      </c>
      <c r="B3" s="464"/>
      <c r="C3" s="464"/>
      <c r="D3" s="464"/>
      <c r="E3" s="464"/>
      <c r="F3" s="464"/>
      <c r="G3" s="464"/>
      <c r="H3" s="279" t="s">
        <v>523</v>
      </c>
    </row>
    <row r="4" spans="1:8" ht="25.5">
      <c r="A4" s="280" t="s">
        <v>15</v>
      </c>
      <c r="B4" s="74" t="s">
        <v>353</v>
      </c>
      <c r="C4" s="75" t="s">
        <v>354</v>
      </c>
      <c r="D4" s="76" t="s">
        <v>355</v>
      </c>
      <c r="E4" s="77" t="s">
        <v>356</v>
      </c>
      <c r="F4" s="77" t="s">
        <v>357</v>
      </c>
      <c r="G4" s="77" t="s">
        <v>358</v>
      </c>
      <c r="H4" s="281" t="s">
        <v>359</v>
      </c>
    </row>
    <row r="5" spans="1:8" ht="15" customHeight="1">
      <c r="A5" s="456" t="s">
        <v>360</v>
      </c>
      <c r="B5" s="455" t="str">
        <f>'ORÇAMENTARIA GERAL'!D14</f>
        <v>ADMINISTRAÇÃO DA OBRA</v>
      </c>
      <c r="C5" s="78">
        <f>C6/C54</f>
        <v>0.18961664159098815</v>
      </c>
      <c r="D5" s="79">
        <f>SUM(E5:H5)</f>
        <v>1</v>
      </c>
      <c r="E5" s="276">
        <v>0.25</v>
      </c>
      <c r="F5" s="276">
        <v>0.25</v>
      </c>
      <c r="G5" s="276">
        <v>0.25</v>
      </c>
      <c r="H5" s="282">
        <v>0.25</v>
      </c>
    </row>
    <row r="6" spans="1:8" ht="15">
      <c r="A6" s="456"/>
      <c r="B6" s="455"/>
      <c r="C6" s="81">
        <f>'ORÇAMENTARIA GERAL'!I14</f>
        <v>285242.76</v>
      </c>
      <c r="D6" s="82">
        <f>SUM(E6:H6)</f>
        <v>285242.76</v>
      </c>
      <c r="E6" s="82">
        <f>E5*C6</f>
        <v>71310.69</v>
      </c>
      <c r="F6" s="82">
        <f>F5*C6</f>
        <v>71310.69</v>
      </c>
      <c r="G6" s="82">
        <f>G5*C6</f>
        <v>71310.69</v>
      </c>
      <c r="H6" s="283">
        <f>H5*C6</f>
        <v>71310.69</v>
      </c>
    </row>
    <row r="7" spans="1:8" ht="15" customHeight="1">
      <c r="A7" s="456" t="s">
        <v>361</v>
      </c>
      <c r="B7" s="455" t="str">
        <f>'ORÇAMENTARIA GERAL'!D22</f>
        <v>PROJETOS </v>
      </c>
      <c r="C7" s="83">
        <f>C8/C54</f>
        <v>0.017732294923483004</v>
      </c>
      <c r="D7" s="79">
        <f aca="true" t="shared" si="0" ref="D7:D53">SUM(E7:H7)</f>
        <v>1</v>
      </c>
      <c r="E7" s="276">
        <v>1</v>
      </c>
      <c r="F7" s="276">
        <v>0</v>
      </c>
      <c r="G7" s="276">
        <v>0</v>
      </c>
      <c r="H7" s="282"/>
    </row>
    <row r="8" spans="1:8" ht="15">
      <c r="A8" s="456"/>
      <c r="B8" s="455"/>
      <c r="C8" s="81">
        <f>'ORÇAMENTARIA GERAL'!I22</f>
        <v>26674.92</v>
      </c>
      <c r="D8" s="82">
        <f t="shared" si="0"/>
        <v>26674.92</v>
      </c>
      <c r="E8" s="82">
        <f>E7*C8</f>
        <v>26674.92</v>
      </c>
      <c r="F8" s="82">
        <f>F7*C8</f>
        <v>0</v>
      </c>
      <c r="G8" s="82">
        <f>G7*C8</f>
        <v>0</v>
      </c>
      <c r="H8" s="284"/>
    </row>
    <row r="9" spans="1:8" ht="15" customHeight="1">
      <c r="A9" s="456" t="s">
        <v>362</v>
      </c>
      <c r="B9" s="469" t="s">
        <v>23</v>
      </c>
      <c r="C9" s="83">
        <f>C10/C54</f>
        <v>0.08357739935621104</v>
      </c>
      <c r="D9" s="79">
        <f t="shared" si="0"/>
        <v>1</v>
      </c>
      <c r="E9" s="276">
        <v>0.95</v>
      </c>
      <c r="F9" s="276">
        <v>0</v>
      </c>
      <c r="G9" s="276">
        <v>0</v>
      </c>
      <c r="H9" s="282">
        <v>0.05</v>
      </c>
    </row>
    <row r="10" spans="1:8" ht="15">
      <c r="A10" s="456"/>
      <c r="B10" s="469"/>
      <c r="C10" s="81">
        <f>'ORÇAMENTARIA GERAL'!I28</f>
        <v>125726.55999999998</v>
      </c>
      <c r="D10" s="82">
        <f t="shared" si="0"/>
        <v>125726.55999999997</v>
      </c>
      <c r="E10" s="82">
        <f>E9*C10</f>
        <v>119440.23199999997</v>
      </c>
      <c r="F10" s="82">
        <f>F9*C10</f>
        <v>0</v>
      </c>
      <c r="G10" s="82">
        <f>G9*C10</f>
        <v>0</v>
      </c>
      <c r="H10" s="283">
        <f>H9*C10</f>
        <v>6286.3279999999995</v>
      </c>
    </row>
    <row r="11" spans="1:8" ht="15" customHeight="1">
      <c r="A11" s="456" t="s">
        <v>363</v>
      </c>
      <c r="B11" s="455" t="str">
        <f>'ORÇAMENTARIA GERAL'!D43</f>
        <v>TERRAPLENAGEM</v>
      </c>
      <c r="C11" s="78">
        <f>C12/C54</f>
        <v>0.00409881481439134</v>
      </c>
      <c r="D11" s="79">
        <f t="shared" si="0"/>
        <v>1</v>
      </c>
      <c r="E11" s="276">
        <v>1</v>
      </c>
      <c r="F11" s="276">
        <v>0</v>
      </c>
      <c r="G11" s="276">
        <v>0</v>
      </c>
      <c r="H11" s="282">
        <v>0</v>
      </c>
    </row>
    <row r="12" spans="1:8" ht="15">
      <c r="A12" s="456"/>
      <c r="B12" s="455"/>
      <c r="C12" s="81">
        <f>'ORÇAMENTARIA GERAL'!I43</f>
        <v>6165.9</v>
      </c>
      <c r="D12" s="82">
        <f t="shared" si="0"/>
        <v>6165.9</v>
      </c>
      <c r="E12" s="82">
        <f>E11*C12</f>
        <v>6165.9</v>
      </c>
      <c r="F12" s="82">
        <f>F11*C12</f>
        <v>0</v>
      </c>
      <c r="G12" s="82">
        <f>G11*C12</f>
        <v>0</v>
      </c>
      <c r="H12" s="283">
        <f>H11*C12</f>
        <v>0</v>
      </c>
    </row>
    <row r="13" spans="1:8" ht="15" customHeight="1">
      <c r="A13" s="456" t="s">
        <v>364</v>
      </c>
      <c r="B13" s="455" t="str">
        <f>'ORÇAMENTARIA GERAL'!D47</f>
        <v>MURO DE ARRIMO </v>
      </c>
      <c r="C13" s="78">
        <f>C14/C54</f>
        <v>0.11030678524394759</v>
      </c>
      <c r="D13" s="79">
        <f t="shared" si="0"/>
        <v>1</v>
      </c>
      <c r="E13" s="276">
        <v>0.5</v>
      </c>
      <c r="F13" s="276">
        <v>0.5</v>
      </c>
      <c r="G13" s="276"/>
      <c r="H13" s="282">
        <v>0</v>
      </c>
    </row>
    <row r="14" spans="1:8" ht="15">
      <c r="A14" s="456"/>
      <c r="B14" s="455"/>
      <c r="C14" s="81">
        <f>'ORÇAMENTARIA GERAL'!I47</f>
        <v>165935.92</v>
      </c>
      <c r="D14" s="82">
        <f t="shared" si="0"/>
        <v>165935.92</v>
      </c>
      <c r="E14" s="82">
        <f>E13*C14</f>
        <v>82967.96</v>
      </c>
      <c r="F14" s="82">
        <f>F13*C14</f>
        <v>82967.96</v>
      </c>
      <c r="G14" s="82">
        <f>G13*C14</f>
        <v>0</v>
      </c>
      <c r="H14" s="283">
        <f>H13*C14</f>
        <v>0</v>
      </c>
    </row>
    <row r="15" spans="1:8" ht="15" customHeight="1">
      <c r="A15" s="456" t="s">
        <v>365</v>
      </c>
      <c r="B15" s="455" t="str">
        <f>'ORÇAMENTARIA GERAL'!D62</f>
        <v>MOVIMENTO DE TERRA PARA FUNDAÇÕES</v>
      </c>
      <c r="C15" s="78">
        <f>C16/C54</f>
        <v>0.009600496013827974</v>
      </c>
      <c r="D15" s="79">
        <f t="shared" si="0"/>
        <v>1</v>
      </c>
      <c r="E15" s="276">
        <v>1</v>
      </c>
      <c r="F15" s="276">
        <v>0</v>
      </c>
      <c r="G15" s="276"/>
      <c r="H15" s="282">
        <v>0</v>
      </c>
    </row>
    <row r="16" spans="1:8" ht="15">
      <c r="A16" s="456"/>
      <c r="B16" s="455"/>
      <c r="C16" s="81">
        <f>'ORÇAMENTARIA GERAL'!I62</f>
        <v>14442.150000000001</v>
      </c>
      <c r="D16" s="82">
        <f t="shared" si="0"/>
        <v>14442.150000000001</v>
      </c>
      <c r="E16" s="82">
        <f>E15*C16</f>
        <v>14442.150000000001</v>
      </c>
      <c r="F16" s="82">
        <f>F15*C16</f>
        <v>0</v>
      </c>
      <c r="G16" s="82">
        <f>G15*C16</f>
        <v>0</v>
      </c>
      <c r="H16" s="283">
        <f>H15*C16</f>
        <v>0</v>
      </c>
    </row>
    <row r="17" spans="1:8" ht="15" customHeight="1">
      <c r="A17" s="456" t="s">
        <v>366</v>
      </c>
      <c r="B17" s="455" t="str">
        <f>'ORÇAMENTARIA GERAL'!D68</f>
        <v>FUNDAÇÕES</v>
      </c>
      <c r="C17" s="78">
        <f>C18/C54</f>
        <v>0.045100012105194334</v>
      </c>
      <c r="D17" s="79">
        <f t="shared" si="0"/>
        <v>1</v>
      </c>
      <c r="E17" s="276">
        <v>0.6</v>
      </c>
      <c r="F17" s="276">
        <v>0.4</v>
      </c>
      <c r="G17" s="276"/>
      <c r="H17" s="282">
        <v>0</v>
      </c>
    </row>
    <row r="18" spans="1:8" ht="15">
      <c r="A18" s="456"/>
      <c r="B18" s="455"/>
      <c r="C18" s="81">
        <f>'ORÇAMENTARIA GERAL'!I68</f>
        <v>67844.53</v>
      </c>
      <c r="D18" s="82">
        <f t="shared" si="0"/>
        <v>67844.53</v>
      </c>
      <c r="E18" s="82">
        <f>E17*C18</f>
        <v>40706.718</v>
      </c>
      <c r="F18" s="82">
        <f>F17*C18</f>
        <v>27137.812</v>
      </c>
      <c r="G18" s="82">
        <f>G17*C18</f>
        <v>0</v>
      </c>
      <c r="H18" s="283">
        <f>H17*C18</f>
        <v>0</v>
      </c>
    </row>
    <row r="19" spans="1:8" ht="15" customHeight="1">
      <c r="A19" s="456" t="s">
        <v>367</v>
      </c>
      <c r="B19" s="455" t="str">
        <f>'ORÇAMENTARIA GERAL'!D83</f>
        <v>SUPERESTRUTURA</v>
      </c>
      <c r="C19" s="78">
        <f>C20/C54</f>
        <v>0.07623818156448701</v>
      </c>
      <c r="D19" s="79">
        <f t="shared" si="0"/>
        <v>1</v>
      </c>
      <c r="E19" s="276">
        <v>0.1</v>
      </c>
      <c r="F19" s="276">
        <v>0.6</v>
      </c>
      <c r="G19" s="276">
        <v>0.3</v>
      </c>
      <c r="H19" s="282">
        <v>0</v>
      </c>
    </row>
    <row r="20" spans="1:8" ht="15">
      <c r="A20" s="456"/>
      <c r="B20" s="455"/>
      <c r="C20" s="81">
        <f>'ORÇAMENTARIA GERAL'!I83</f>
        <v>114686.08</v>
      </c>
      <c r="D20" s="82">
        <f t="shared" si="0"/>
        <v>114686.07999999999</v>
      </c>
      <c r="E20" s="82">
        <f>E19*C20</f>
        <v>11468.608</v>
      </c>
      <c r="F20" s="82">
        <f>F19*C20</f>
        <v>68811.648</v>
      </c>
      <c r="G20" s="82">
        <f>G19*C20</f>
        <v>34405.824</v>
      </c>
      <c r="H20" s="283">
        <f>H19*C20</f>
        <v>0</v>
      </c>
    </row>
    <row r="21" spans="1:8" ht="15" customHeight="1">
      <c r="A21" s="456" t="s">
        <v>368</v>
      </c>
      <c r="B21" s="455" t="str">
        <f>'ORÇAMENTARIA GERAL'!D107</f>
        <v>SISTEMAS DE VEDAÇÃO VERTICAL</v>
      </c>
      <c r="C21" s="78">
        <f>C22/C54</f>
        <v>0.0304082947104954</v>
      </c>
      <c r="D21" s="79">
        <f t="shared" si="0"/>
        <v>1</v>
      </c>
      <c r="E21" s="276">
        <v>0</v>
      </c>
      <c r="F21" s="276">
        <v>0.3</v>
      </c>
      <c r="G21" s="276">
        <v>0.7</v>
      </c>
      <c r="H21" s="282"/>
    </row>
    <row r="22" spans="1:8" ht="15">
      <c r="A22" s="456"/>
      <c r="B22" s="455"/>
      <c r="C22" s="81">
        <f>'ORÇAMENTARIA GERAL'!I107</f>
        <v>45743.590000000004</v>
      </c>
      <c r="D22" s="82">
        <f t="shared" si="0"/>
        <v>45743.59</v>
      </c>
      <c r="E22" s="82">
        <f>E21*C22</f>
        <v>0</v>
      </c>
      <c r="F22" s="82">
        <f>F21*C22</f>
        <v>13723.077000000001</v>
      </c>
      <c r="G22" s="82">
        <f>G21*C22</f>
        <v>32020.513</v>
      </c>
      <c r="H22" s="283">
        <f>H21*C22</f>
        <v>0</v>
      </c>
    </row>
    <row r="23" spans="1:8" ht="15" customHeight="1">
      <c r="A23" s="456" t="s">
        <v>369</v>
      </c>
      <c r="B23" s="455" t="str">
        <f>'ORÇAMENTARIA GERAL'!D115</f>
        <v>ESQUADRIAS</v>
      </c>
      <c r="C23" s="78">
        <f>C24/C54</f>
        <v>0.011149568683483334</v>
      </c>
      <c r="D23" s="79">
        <f t="shared" si="0"/>
        <v>1</v>
      </c>
      <c r="E23" s="276">
        <v>0</v>
      </c>
      <c r="F23" s="276">
        <v>0</v>
      </c>
      <c r="G23" s="276">
        <v>0.3</v>
      </c>
      <c r="H23" s="282">
        <v>0.7</v>
      </c>
    </row>
    <row r="24" spans="1:8" ht="15">
      <c r="A24" s="456"/>
      <c r="B24" s="455"/>
      <c r="C24" s="81">
        <f>'ORÇAMENTARIA GERAL'!I115</f>
        <v>16772.44</v>
      </c>
      <c r="D24" s="82">
        <f t="shared" si="0"/>
        <v>16772.44</v>
      </c>
      <c r="E24" s="82">
        <f>E23*C24</f>
        <v>0</v>
      </c>
      <c r="F24" s="82">
        <f>F23*C24</f>
        <v>0</v>
      </c>
      <c r="G24" s="82">
        <f>G23*C24</f>
        <v>5031.731999999999</v>
      </c>
      <c r="H24" s="283">
        <f>H23*C24</f>
        <v>11740.707999999999</v>
      </c>
    </row>
    <row r="25" spans="1:8" ht="15" customHeight="1">
      <c r="A25" s="456" t="s">
        <v>370</v>
      </c>
      <c r="B25" s="455" t="str">
        <f>'ORÇAMENTARIA GERAL'!D129</f>
        <v>SISTEMAS DE COBERTURA</v>
      </c>
      <c r="C25" s="78">
        <f>C26/C54</f>
        <v>0.1781280676380559</v>
      </c>
      <c r="D25" s="79">
        <f t="shared" si="0"/>
        <v>1</v>
      </c>
      <c r="E25" s="276">
        <v>0</v>
      </c>
      <c r="F25" s="276">
        <v>0.4</v>
      </c>
      <c r="G25" s="276">
        <v>0.4</v>
      </c>
      <c r="H25" s="282">
        <v>0.2</v>
      </c>
    </row>
    <row r="26" spans="1:8" ht="15">
      <c r="A26" s="456"/>
      <c r="B26" s="455"/>
      <c r="C26" s="81">
        <f>'ORÇAMENTARIA GERAL'!I129</f>
        <v>267960.35000000003</v>
      </c>
      <c r="D26" s="82">
        <f t="shared" si="0"/>
        <v>267960.35000000003</v>
      </c>
      <c r="E26" s="82">
        <f>E25*C26</f>
        <v>0</v>
      </c>
      <c r="F26" s="82">
        <f>F25*C26</f>
        <v>107184.14000000001</v>
      </c>
      <c r="G26" s="82">
        <f>G25*C26</f>
        <v>107184.14000000001</v>
      </c>
      <c r="H26" s="283">
        <f>H25*C26</f>
        <v>53592.07000000001</v>
      </c>
    </row>
    <row r="27" spans="1:8" ht="15" customHeight="1">
      <c r="A27" s="456" t="s">
        <v>371</v>
      </c>
      <c r="B27" s="455" t="str">
        <f>'ORÇAMENTARIA GERAL'!D132</f>
        <v>IMPERMEABILIZAÇÃO</v>
      </c>
      <c r="C27" s="78">
        <f>C28/C54</f>
        <v>0.005102495631061862</v>
      </c>
      <c r="D27" s="79">
        <f t="shared" si="0"/>
        <v>1</v>
      </c>
      <c r="E27" s="276">
        <v>0.2</v>
      </c>
      <c r="F27" s="276">
        <v>0.8</v>
      </c>
      <c r="G27" s="276">
        <v>0</v>
      </c>
      <c r="H27" s="282">
        <v>0</v>
      </c>
    </row>
    <row r="28" spans="1:8" ht="15">
      <c r="A28" s="456"/>
      <c r="B28" s="455"/>
      <c r="C28" s="81">
        <f>'ORÇAMENTARIA GERAL'!I132</f>
        <v>7675.75</v>
      </c>
      <c r="D28" s="82">
        <f t="shared" si="0"/>
        <v>7675.75</v>
      </c>
      <c r="E28" s="82">
        <f>E27*C28</f>
        <v>1535.15</v>
      </c>
      <c r="F28" s="82">
        <f>F27*C28</f>
        <v>6140.6</v>
      </c>
      <c r="G28" s="82">
        <f>G27*C28</f>
        <v>0</v>
      </c>
      <c r="H28" s="283">
        <f>H27*C28</f>
        <v>0</v>
      </c>
    </row>
    <row r="29" spans="1:8" ht="15" customHeight="1">
      <c r="A29" s="456" t="s">
        <v>372</v>
      </c>
      <c r="B29" s="455" t="str">
        <f>'ORÇAMENTARIA GERAL'!D135</f>
        <v>REVESTIMENTOS INTERNO E EXTERNO</v>
      </c>
      <c r="C29" s="78">
        <f>C30/C54</f>
        <v>0.04727193391747155</v>
      </c>
      <c r="D29" s="79">
        <f t="shared" si="0"/>
        <v>1</v>
      </c>
      <c r="E29" s="276">
        <v>0</v>
      </c>
      <c r="F29" s="276">
        <v>0</v>
      </c>
      <c r="G29" s="276">
        <v>0.6</v>
      </c>
      <c r="H29" s="282">
        <v>0.4</v>
      </c>
    </row>
    <row r="30" spans="1:8" ht="15">
      <c r="A30" s="456"/>
      <c r="B30" s="455"/>
      <c r="C30" s="81">
        <f>'ORÇAMENTARIA GERAL'!I135</f>
        <v>71111.78</v>
      </c>
      <c r="D30" s="82">
        <f t="shared" si="0"/>
        <v>71111.78</v>
      </c>
      <c r="E30" s="82">
        <f>E29*C30</f>
        <v>0</v>
      </c>
      <c r="F30" s="82">
        <f>F29*C30</f>
        <v>0</v>
      </c>
      <c r="G30" s="82">
        <f>G29*C30</f>
        <v>42667.068</v>
      </c>
      <c r="H30" s="283">
        <f>H29*C30</f>
        <v>28444.712</v>
      </c>
    </row>
    <row r="31" spans="1:8" ht="15" customHeight="1">
      <c r="A31" s="456" t="s">
        <v>373</v>
      </c>
      <c r="B31" s="455" t="str">
        <f>'ORÇAMENTARIA GERAL'!D141</f>
        <v>SISTEMAS DE PISOS</v>
      </c>
      <c r="C31" s="78">
        <f>C32/C54</f>
        <v>0.05349407028285139</v>
      </c>
      <c r="D31" s="79">
        <f t="shared" si="0"/>
        <v>1</v>
      </c>
      <c r="E31" s="276">
        <v>0</v>
      </c>
      <c r="F31" s="276">
        <v>0</v>
      </c>
      <c r="G31" s="276">
        <v>0.5</v>
      </c>
      <c r="H31" s="282">
        <v>0.5</v>
      </c>
    </row>
    <row r="32" spans="1:8" ht="15">
      <c r="A32" s="456"/>
      <c r="B32" s="455"/>
      <c r="C32" s="81">
        <f>'ORÇAMENTARIA GERAL'!I141</f>
        <v>80471.82</v>
      </c>
      <c r="D32" s="82">
        <f t="shared" si="0"/>
        <v>80471.82</v>
      </c>
      <c r="E32" s="82">
        <f>E31*C32</f>
        <v>0</v>
      </c>
      <c r="F32" s="82">
        <f>F31*C32</f>
        <v>0</v>
      </c>
      <c r="G32" s="82">
        <f>G31*C32</f>
        <v>40235.91</v>
      </c>
      <c r="H32" s="283">
        <f>H31*C32</f>
        <v>40235.91</v>
      </c>
    </row>
    <row r="33" spans="1:8" ht="15" customHeight="1">
      <c r="A33" s="467" t="s">
        <v>374</v>
      </c>
      <c r="B33" s="465" t="str">
        <f>'ORÇAMENTARIA GERAL'!D152</f>
        <v>PINTURAS E ACABAMENTOS</v>
      </c>
      <c r="C33" s="78">
        <f>C34/C54</f>
        <v>0.05457354650086428</v>
      </c>
      <c r="D33" s="79">
        <f t="shared" si="0"/>
        <v>1</v>
      </c>
      <c r="E33" s="276">
        <v>0</v>
      </c>
      <c r="F33" s="276">
        <v>0</v>
      </c>
      <c r="G33" s="276">
        <v>0</v>
      </c>
      <c r="H33" s="282">
        <v>1</v>
      </c>
    </row>
    <row r="34" spans="1:8" ht="15" customHeight="1">
      <c r="A34" s="471"/>
      <c r="B34" s="466"/>
      <c r="C34" s="260">
        <f>'ORÇAMENTARIA GERAL'!I152</f>
        <v>82095.69</v>
      </c>
      <c r="D34" s="82">
        <f aca="true" t="shared" si="1" ref="D34:D52">SUM(E34:H34)</f>
        <v>82095.69</v>
      </c>
      <c r="E34" s="80"/>
      <c r="F34" s="80"/>
      <c r="G34" s="80"/>
      <c r="H34" s="285">
        <f>H33*C34</f>
        <v>82095.69</v>
      </c>
    </row>
    <row r="35" spans="1:8" ht="15" customHeight="1">
      <c r="A35" s="467" t="s">
        <v>707</v>
      </c>
      <c r="B35" s="465" t="str">
        <f>'ORÇAMENTARIA GERAL'!D161</f>
        <v>INSTALAÇÃO HIDRÁULICA</v>
      </c>
      <c r="C35" s="78">
        <f>C36/C54</f>
        <v>0.003781354264794246</v>
      </c>
      <c r="D35" s="79">
        <f t="shared" si="1"/>
        <v>0.9999999999999999</v>
      </c>
      <c r="E35" s="276"/>
      <c r="F35" s="276">
        <v>0.2</v>
      </c>
      <c r="G35" s="276">
        <v>0.7</v>
      </c>
      <c r="H35" s="282">
        <v>0.1</v>
      </c>
    </row>
    <row r="36" spans="1:8" ht="15" customHeight="1">
      <c r="A36" s="471"/>
      <c r="B36" s="466"/>
      <c r="C36" s="260">
        <f>'ORÇAMENTARIA GERAL'!I161</f>
        <v>5688.34</v>
      </c>
      <c r="D36" s="82">
        <f t="shared" si="1"/>
        <v>5688.339999999999</v>
      </c>
      <c r="E36" s="80"/>
      <c r="F36" s="260">
        <f>F35*C36</f>
        <v>1137.6680000000001</v>
      </c>
      <c r="G36" s="260">
        <f>G35*C36</f>
        <v>3981.8379999999997</v>
      </c>
      <c r="H36" s="285">
        <f>H35*C36</f>
        <v>568.8340000000001</v>
      </c>
    </row>
    <row r="37" spans="1:8" ht="15" customHeight="1">
      <c r="A37" s="467" t="s">
        <v>708</v>
      </c>
      <c r="B37" s="465" t="str">
        <f>'ORÇAMENTARIA GERAL'!D201</f>
        <v>INSTALAÇÃO SANITÁRIA</v>
      </c>
      <c r="C37" s="78">
        <f>C38/C54</f>
        <v>0.006572103450020272</v>
      </c>
      <c r="D37" s="79">
        <f t="shared" si="1"/>
        <v>0.9999999999999999</v>
      </c>
      <c r="E37" s="276"/>
      <c r="F37" s="276">
        <v>0.2</v>
      </c>
      <c r="G37" s="276">
        <v>0.7</v>
      </c>
      <c r="H37" s="282">
        <v>0.1</v>
      </c>
    </row>
    <row r="38" spans="1:8" ht="15" customHeight="1">
      <c r="A38" s="468"/>
      <c r="B38" s="470"/>
      <c r="C38" s="260">
        <f>'ORÇAMENTARIA GERAL'!I201</f>
        <v>9886.500000000002</v>
      </c>
      <c r="D38" s="82">
        <f t="shared" si="1"/>
        <v>9886.500000000002</v>
      </c>
      <c r="E38" s="80"/>
      <c r="F38" s="260">
        <f>F37*C38</f>
        <v>1977.3000000000004</v>
      </c>
      <c r="G38" s="260">
        <f>G37*C38</f>
        <v>6920.550000000001</v>
      </c>
      <c r="H38" s="285">
        <f>H37*C38</f>
        <v>988.6500000000002</v>
      </c>
    </row>
    <row r="39" spans="1:8" ht="15" customHeight="1">
      <c r="A39" s="451" t="s">
        <v>709</v>
      </c>
      <c r="B39" s="457" t="str">
        <f>'ORÇAMENTARIA GERAL'!D223</f>
        <v>DRENAGEM DE ÁGUAS PLUVIAIS</v>
      </c>
      <c r="C39" s="258">
        <f>C40/C54</f>
        <v>0.007182515020644973</v>
      </c>
      <c r="D39" s="79">
        <f t="shared" si="1"/>
        <v>1</v>
      </c>
      <c r="E39" s="276"/>
      <c r="F39" s="276">
        <v>0.4</v>
      </c>
      <c r="G39" s="276">
        <v>0.2</v>
      </c>
      <c r="H39" s="282">
        <v>0.4</v>
      </c>
    </row>
    <row r="40" spans="1:8" ht="15" customHeight="1">
      <c r="A40" s="452"/>
      <c r="B40" s="458"/>
      <c r="C40" s="260">
        <f>'ORÇAMENTARIA GERAL'!I223</f>
        <v>10804.75</v>
      </c>
      <c r="D40" s="82">
        <f t="shared" si="1"/>
        <v>10804.75</v>
      </c>
      <c r="E40" s="80"/>
      <c r="F40" s="260">
        <f>F39*C40</f>
        <v>4321.900000000001</v>
      </c>
      <c r="G40" s="260">
        <f>G39*C40</f>
        <v>2160.9500000000003</v>
      </c>
      <c r="H40" s="285">
        <f>H39*C40</f>
        <v>4321.900000000001</v>
      </c>
    </row>
    <row r="41" spans="1:8" ht="15" customHeight="1">
      <c r="A41" s="451" t="s">
        <v>710</v>
      </c>
      <c r="B41" s="457" t="str">
        <f>'ORÇAMENTARIA GERAL'!D227</f>
        <v>LOUÇAS, ACESSÓRIOS E METAIS</v>
      </c>
      <c r="C41" s="258">
        <f>C42/C54</f>
        <v>0.006987588818788963</v>
      </c>
      <c r="D41" s="79">
        <f t="shared" si="1"/>
        <v>1</v>
      </c>
      <c r="E41" s="276"/>
      <c r="F41" s="276"/>
      <c r="G41" s="276">
        <v>0.2</v>
      </c>
      <c r="H41" s="282">
        <v>0.8</v>
      </c>
    </row>
    <row r="42" spans="1:8" ht="15" customHeight="1">
      <c r="A42" s="452"/>
      <c r="B42" s="458"/>
      <c r="C42" s="260">
        <f>'ORÇAMENTARIA GERAL'!I227</f>
        <v>10511.52</v>
      </c>
      <c r="D42" s="82">
        <f t="shared" si="1"/>
        <v>10511.52</v>
      </c>
      <c r="E42" s="260"/>
      <c r="F42" s="260"/>
      <c r="G42" s="260">
        <f>G41*C42</f>
        <v>2102.304</v>
      </c>
      <c r="H42" s="285">
        <f>H41*C42</f>
        <v>8409.216</v>
      </c>
    </row>
    <row r="43" spans="1:8" ht="15" customHeight="1">
      <c r="A43" s="451" t="s">
        <v>711</v>
      </c>
      <c r="B43" s="457" t="str">
        <f>'ORÇAMENTARIA GERAL'!D242</f>
        <v>SISTEMA DE PROTEÇÃO CONTRA INCÊNCIO</v>
      </c>
      <c r="C43" s="258">
        <f>C44/C54</f>
        <v>0.0004191681132296345</v>
      </c>
      <c r="D43" s="79">
        <f t="shared" si="1"/>
        <v>1</v>
      </c>
      <c r="E43" s="276"/>
      <c r="F43" s="276">
        <v>0.1</v>
      </c>
      <c r="G43" s="276">
        <v>0</v>
      </c>
      <c r="H43" s="282">
        <v>0.9</v>
      </c>
    </row>
    <row r="44" spans="1:8" ht="15" customHeight="1">
      <c r="A44" s="452"/>
      <c r="B44" s="458"/>
      <c r="C44" s="260">
        <f>'ORÇAMENTARIA GERAL'!I242</f>
        <v>630.56</v>
      </c>
      <c r="D44" s="82">
        <f t="shared" si="1"/>
        <v>630.5600000000001</v>
      </c>
      <c r="E44" s="260"/>
      <c r="F44" s="260">
        <f>F43*C44</f>
        <v>63.056</v>
      </c>
      <c r="G44" s="260">
        <f>G43*C44</f>
        <v>0</v>
      </c>
      <c r="H44" s="285">
        <f>H43*C44</f>
        <v>567.504</v>
      </c>
    </row>
    <row r="45" spans="1:8" ht="15" customHeight="1">
      <c r="A45" s="451" t="s">
        <v>712</v>
      </c>
      <c r="B45" s="453" t="s">
        <v>262</v>
      </c>
      <c r="C45" s="258">
        <f>C46/C54</f>
        <v>0.0184731580776845</v>
      </c>
      <c r="D45" s="79">
        <f t="shared" si="1"/>
        <v>1</v>
      </c>
      <c r="E45" s="276"/>
      <c r="F45" s="276">
        <v>0.1</v>
      </c>
      <c r="G45" s="276">
        <v>0.6</v>
      </c>
      <c r="H45" s="282">
        <v>0.3</v>
      </c>
    </row>
    <row r="46" spans="1:8" ht="15" customHeight="1">
      <c r="A46" s="452"/>
      <c r="B46" s="454"/>
      <c r="C46" s="260">
        <f>'ORÇAMENTARIA GERAL'!I248</f>
        <v>27789.41</v>
      </c>
      <c r="D46" s="82">
        <f t="shared" si="1"/>
        <v>27789.41</v>
      </c>
      <c r="E46" s="260"/>
      <c r="F46" s="260">
        <f>F45*C46</f>
        <v>2778.9410000000003</v>
      </c>
      <c r="G46" s="260">
        <f>G45*C46</f>
        <v>16673.646</v>
      </c>
      <c r="H46" s="285">
        <f>H45*C46</f>
        <v>8336.823</v>
      </c>
    </row>
    <row r="47" spans="1:8" ht="15" customHeight="1">
      <c r="A47" s="451" t="s">
        <v>713</v>
      </c>
      <c r="B47" s="453" t="s">
        <v>318</v>
      </c>
      <c r="C47" s="258">
        <f>C48/C54</f>
        <v>0.01134504663225317</v>
      </c>
      <c r="D47" s="79">
        <f t="shared" si="1"/>
        <v>1</v>
      </c>
      <c r="E47" s="276"/>
      <c r="F47" s="276">
        <v>0.5</v>
      </c>
      <c r="G47" s="276">
        <v>0.4</v>
      </c>
      <c r="H47" s="282">
        <v>0.1</v>
      </c>
    </row>
    <row r="48" spans="1:8" ht="15" customHeight="1">
      <c r="A48" s="452"/>
      <c r="B48" s="454"/>
      <c r="C48" s="260">
        <f>'ORÇAMENTARIA GERAL'!I293</f>
        <v>17066.5</v>
      </c>
      <c r="D48" s="82">
        <f t="shared" si="1"/>
        <v>17066.5</v>
      </c>
      <c r="E48" s="260"/>
      <c r="F48" s="260">
        <f>F47*C48</f>
        <v>8533.25</v>
      </c>
      <c r="G48" s="260">
        <f>G47*C48</f>
        <v>6826.6</v>
      </c>
      <c r="H48" s="285">
        <f>H47*C48</f>
        <v>1706.65</v>
      </c>
    </row>
    <row r="49" spans="1:8" ht="15" customHeight="1">
      <c r="A49" s="451" t="s">
        <v>714</v>
      </c>
      <c r="B49" s="453" t="s">
        <v>328</v>
      </c>
      <c r="C49" s="258">
        <f>C50/C54</f>
        <v>0.027129010194621078</v>
      </c>
      <c r="D49" s="79">
        <f t="shared" si="1"/>
        <v>1</v>
      </c>
      <c r="E49" s="276"/>
      <c r="F49" s="276"/>
      <c r="G49" s="276">
        <v>0.4</v>
      </c>
      <c r="H49" s="282">
        <v>0.6</v>
      </c>
    </row>
    <row r="50" spans="1:8" ht="15" customHeight="1">
      <c r="A50" s="452"/>
      <c r="B50" s="454"/>
      <c r="C50" s="260">
        <f>'ORÇAMENTARIA GERAL'!I302</f>
        <v>40810.520000000004</v>
      </c>
      <c r="D50" s="82">
        <f t="shared" si="1"/>
        <v>40810.520000000004</v>
      </c>
      <c r="E50" s="80"/>
      <c r="F50" s="80"/>
      <c r="G50" s="260">
        <f>G49*C50</f>
        <v>16324.208000000002</v>
      </c>
      <c r="H50" s="285">
        <f>H49*C50</f>
        <v>24486.312</v>
      </c>
    </row>
    <row r="51" spans="1:8" ht="15" customHeight="1">
      <c r="A51" s="451" t="s">
        <v>715</v>
      </c>
      <c r="B51" s="453" t="s">
        <v>346</v>
      </c>
      <c r="C51" s="258">
        <f>C52/C54</f>
        <v>0.0017114524511489596</v>
      </c>
      <c r="D51" s="79">
        <f t="shared" si="1"/>
        <v>1</v>
      </c>
      <c r="E51" s="276"/>
      <c r="F51" s="276"/>
      <c r="G51" s="276"/>
      <c r="H51" s="282">
        <v>1</v>
      </c>
    </row>
    <row r="52" spans="1:8" ht="15" customHeight="1">
      <c r="A52" s="452"/>
      <c r="B52" s="454"/>
      <c r="C52" s="260">
        <f>'ORÇAMENTARIA GERAL'!I312</f>
        <v>2574.56</v>
      </c>
      <c r="D52" s="82">
        <f t="shared" si="1"/>
        <v>2574.56</v>
      </c>
      <c r="E52" s="80"/>
      <c r="F52" s="80"/>
      <c r="G52" s="80"/>
      <c r="H52" s="285">
        <f>H51*C52</f>
        <v>2574.56</v>
      </c>
    </row>
    <row r="53" spans="1:8" ht="15" customHeight="1">
      <c r="A53" s="478" t="s">
        <v>375</v>
      </c>
      <c r="B53" s="479"/>
      <c r="C53" s="84">
        <f>C51+C49+C47+C45+C43+C41+C39+C37+C35+C33+C31+C29+C27+C25+C23+C21+C19+C17+C15+C13+C11+C9+C7+C5</f>
        <v>0.9999999999999998</v>
      </c>
      <c r="D53" s="79">
        <f t="shared" si="0"/>
        <v>0.9999999999999999</v>
      </c>
      <c r="E53" s="79">
        <f>E54/C54</f>
        <v>0.24909201270560136</v>
      </c>
      <c r="F53" s="79">
        <f>F54/C54</f>
        <v>0.26330163226015013</v>
      </c>
      <c r="G53" s="79">
        <f>G54/C54</f>
        <v>0.2578226730622332</v>
      </c>
      <c r="H53" s="286">
        <f>H54/C54</f>
        <v>0.22978368197201526</v>
      </c>
    </row>
    <row r="54" spans="1:8" ht="15">
      <c r="A54" s="480"/>
      <c r="B54" s="481"/>
      <c r="C54" s="259">
        <f>'ORÇAMENTARIA GERAL'!I14+'ORÇAMENTARIA GERAL'!I22+'ORÇAMENTARIA GERAL'!I28+'ORÇAMENTARIA GERAL'!I43+'ORÇAMENTARIA GERAL'!I47+'ORÇAMENTARIA GERAL'!I62+'ORÇAMENTARIA GERAL'!I68+'ORÇAMENTARIA GERAL'!I83+'ORÇAMENTARIA GERAL'!I107+'ORÇAMENTARIA GERAL'!I115+'ORÇAMENTARIA GERAL'!I129+'ORÇAMENTARIA GERAL'!I132+'ORÇAMENTARIA GERAL'!I135+'ORÇAMENTARIA GERAL'!I141+'ORÇAMENTARIA GERAL'!I152+'ORÇAMENTARIA GERAL'!I161+'ORÇAMENTARIA GERAL'!I201+'ORÇAMENTARIA GERAL'!I223+'ORÇAMENTARIA GERAL'!I227+'ORÇAMENTARIA GERAL'!I242+'ORÇAMENTARIA GERAL'!I248+'ORÇAMENTARIA GERAL'!I293+'ORÇAMENTARIA GERAL'!I302+'ORÇAMENTARIA GERAL'!I312</f>
        <v>1504312.9000000001</v>
      </c>
      <c r="D54" s="85">
        <f>SUM(E54:H54)</f>
        <v>1504312.9000000001</v>
      </c>
      <c r="E54" s="85">
        <f>E6+E8+E10+E12+E14+E16+E18+E20+E22+E24+E26+E28+E30+E32+E34+E36+E38+E40+E42+E44+E46+E48+E50+E52</f>
        <v>374712.32800000004</v>
      </c>
      <c r="F54" s="85">
        <f>F6+F8+F10+F12+F14+F16+F18+F20+F22+F24+F26+F28+F30+F32+F34+F36+F38+F40+F42+F44+F46+F48+F50+F52</f>
        <v>396088.042</v>
      </c>
      <c r="G54" s="85">
        <f>G6+G8+G10+G12+G14+G16+G18+G20+G22+G24+G26+G28+G30+G32+G34+G36+G38+G40+G42+G44+G46+G48+G50+G52</f>
        <v>387845.97299999994</v>
      </c>
      <c r="H54" s="287">
        <f>H6+H8+H10+H12+H14+H16+H18+H20+H22+H24+H26+H28+H30+H32+H34+H36+H38+H40+H42+H44+H46+H48+H50+H52</f>
        <v>345666.55700000003</v>
      </c>
    </row>
    <row r="55" spans="1:8" ht="33.75" customHeight="1">
      <c r="A55" s="288"/>
      <c r="B55" s="86"/>
      <c r="C55" s="86"/>
      <c r="D55" s="86"/>
      <c r="E55" s="86"/>
      <c r="F55" s="86"/>
      <c r="G55" s="86"/>
      <c r="H55" s="289"/>
    </row>
    <row r="56" spans="1:8" ht="24" customHeight="1">
      <c r="A56" s="472" t="s">
        <v>350</v>
      </c>
      <c r="B56" s="473"/>
      <c r="C56" s="473"/>
      <c r="D56" s="473" t="s">
        <v>759</v>
      </c>
      <c r="E56" s="473"/>
      <c r="F56" s="473"/>
      <c r="G56" s="473"/>
      <c r="H56" s="476"/>
    </row>
    <row r="57" spans="1:8" ht="13.5" customHeight="1" thickBot="1">
      <c r="A57" s="474" t="s">
        <v>351</v>
      </c>
      <c r="B57" s="475"/>
      <c r="C57" s="475"/>
      <c r="D57" s="475" t="s">
        <v>760</v>
      </c>
      <c r="E57" s="475"/>
      <c r="F57" s="475"/>
      <c r="G57" s="475"/>
      <c r="H57" s="477"/>
    </row>
  </sheetData>
  <sheetProtection selectLockedCells="1" selectUnlockedCells="1"/>
  <mergeCells count="56">
    <mergeCell ref="A56:C56"/>
    <mergeCell ref="A57:C57"/>
    <mergeCell ref="D56:H56"/>
    <mergeCell ref="D57:H57"/>
    <mergeCell ref="A53:B54"/>
    <mergeCell ref="B19:B20"/>
    <mergeCell ref="A21:A22"/>
    <mergeCell ref="B21:B22"/>
    <mergeCell ref="A23:A24"/>
    <mergeCell ref="B23:B24"/>
    <mergeCell ref="B37:B38"/>
    <mergeCell ref="A31:A32"/>
    <mergeCell ref="B31:B32"/>
    <mergeCell ref="A27:A28"/>
    <mergeCell ref="B27:B28"/>
    <mergeCell ref="A29:A30"/>
    <mergeCell ref="B29:B30"/>
    <mergeCell ref="A33:A34"/>
    <mergeCell ref="B33:B34"/>
    <mergeCell ref="A35:A36"/>
    <mergeCell ref="B35:B36"/>
    <mergeCell ref="A37:A38"/>
    <mergeCell ref="B9:B10"/>
    <mergeCell ref="A11:A12"/>
    <mergeCell ref="B11:B12"/>
    <mergeCell ref="A25:A26"/>
    <mergeCell ref="B25:B26"/>
    <mergeCell ref="A15:A16"/>
    <mergeCell ref="B15:B16"/>
    <mergeCell ref="A17:A18"/>
    <mergeCell ref="B17:B18"/>
    <mergeCell ref="A19:A20"/>
    <mergeCell ref="A13:A14"/>
    <mergeCell ref="B13:B14"/>
    <mergeCell ref="A1:H1"/>
    <mergeCell ref="B2:G2"/>
    <mergeCell ref="A3:G3"/>
    <mergeCell ref="A5:A6"/>
    <mergeCell ref="B5:B6"/>
    <mergeCell ref="A7:A8"/>
    <mergeCell ref="B7:B8"/>
    <mergeCell ref="A9:A10"/>
    <mergeCell ref="A43:A44"/>
    <mergeCell ref="B43:B44"/>
    <mergeCell ref="A45:A46"/>
    <mergeCell ref="B45:B46"/>
    <mergeCell ref="A39:A40"/>
    <mergeCell ref="B39:B40"/>
    <mergeCell ref="A41:A42"/>
    <mergeCell ref="B41:B42"/>
    <mergeCell ref="A51:A52"/>
    <mergeCell ref="B51:B52"/>
    <mergeCell ref="A47:A48"/>
    <mergeCell ref="B47:B48"/>
    <mergeCell ref="A49:A50"/>
    <mergeCell ref="B49:B50"/>
  </mergeCells>
  <conditionalFormatting sqref="E27:H27 E29:H29 E31:H31 E25:H25 E9:H9 E5:H5 E7:H7 E11:H11 E13:H13 E15:H15 E17:H17 E19:H19 E21:H21 E23:H23 H33 H35 F33:G35 H51 E33:E41 E43:H43 E45:H45 E47:H47 E49:H49 F41:H41 E51:G52 E50:F50 F37:H37 F39:H39">
    <cfRule type="cellIs" priority="1" dxfId="9" operator="greaterThan" stopIfTrue="1">
      <formula>0</formula>
    </cfRule>
  </conditionalFormatting>
  <printOptions horizontalCentered="1" verticalCentered="1"/>
  <pageMargins left="0.5118110236220472" right="0.5118110236220472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B1:V43"/>
  <sheetViews>
    <sheetView showGridLines="0" zoomScale="90" zoomScaleNormal="90" zoomScalePageLayoutView="0" workbookViewId="0" topLeftCell="A13">
      <selection activeCell="M33" sqref="M33"/>
    </sheetView>
  </sheetViews>
  <sheetFormatPr defaultColWidth="9.140625" defaultRowHeight="12.75"/>
  <cols>
    <col min="1" max="1" width="4.7109375" style="138" customWidth="1"/>
    <col min="2" max="2" width="23.8515625" style="138" customWidth="1"/>
    <col min="3" max="8" width="3.8515625" style="138" customWidth="1"/>
    <col min="9" max="9" width="24.140625" style="138" customWidth="1"/>
    <col min="10" max="16384" width="9.140625" style="138" customWidth="1"/>
  </cols>
  <sheetData>
    <row r="1" spans="2:10" ht="12.75">
      <c r="B1" s="355"/>
      <c r="C1" s="356"/>
      <c r="D1" s="356"/>
      <c r="E1" s="356"/>
      <c r="F1" s="356"/>
      <c r="G1" s="356"/>
      <c r="H1" s="356"/>
      <c r="I1" s="356"/>
      <c r="J1" s="357"/>
    </row>
    <row r="2" spans="2:10" ht="18">
      <c r="B2" s="525" t="s">
        <v>376</v>
      </c>
      <c r="C2" s="526"/>
      <c r="D2" s="526"/>
      <c r="E2" s="526"/>
      <c r="F2" s="526"/>
      <c r="G2" s="526"/>
      <c r="H2" s="526"/>
      <c r="I2" s="526"/>
      <c r="J2" s="527"/>
    </row>
    <row r="3" spans="2:22" ht="12.75">
      <c r="B3" s="358"/>
      <c r="C3" s="139"/>
      <c r="D3" s="139"/>
      <c r="E3" s="139"/>
      <c r="F3" s="139"/>
      <c r="G3" s="139"/>
      <c r="H3" s="139"/>
      <c r="I3" s="139"/>
      <c r="J3" s="359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1"/>
      <c r="V3" s="141"/>
    </row>
    <row r="4" spans="2:22" ht="12.75">
      <c r="B4" s="528" t="s">
        <v>377</v>
      </c>
      <c r="C4" s="529"/>
      <c r="D4" s="529"/>
      <c r="E4" s="529"/>
      <c r="F4" s="529"/>
      <c r="G4" s="529"/>
      <c r="H4" s="529"/>
      <c r="I4" s="529"/>
      <c r="J4" s="53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1"/>
      <c r="V4" s="141"/>
    </row>
    <row r="5" spans="2:22" ht="12.75">
      <c r="B5" s="531"/>
      <c r="C5" s="532"/>
      <c r="D5" s="532"/>
      <c r="E5" s="532"/>
      <c r="F5" s="532"/>
      <c r="G5" s="532"/>
      <c r="H5" s="532"/>
      <c r="I5" s="532"/>
      <c r="J5" s="533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1"/>
      <c r="V5" s="141"/>
    </row>
    <row r="6" spans="2:22" ht="12.75">
      <c r="B6" s="491" t="s">
        <v>378</v>
      </c>
      <c r="C6" s="492"/>
      <c r="D6" s="492"/>
      <c r="E6" s="492"/>
      <c r="F6" s="492"/>
      <c r="G6" s="492"/>
      <c r="H6" s="492"/>
      <c r="I6" s="492"/>
      <c r="J6" s="493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1"/>
      <c r="V6" s="141"/>
    </row>
    <row r="7" spans="2:22" ht="12.75">
      <c r="B7" s="360" t="s">
        <v>379</v>
      </c>
      <c r="C7" s="142"/>
      <c r="D7" s="142"/>
      <c r="E7" s="142"/>
      <c r="F7" s="142"/>
      <c r="G7" s="142"/>
      <c r="H7" s="142"/>
      <c r="I7" s="142"/>
      <c r="J7" s="361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1"/>
      <c r="V7" s="141"/>
    </row>
    <row r="8" spans="2:22" ht="12.75">
      <c r="B8" s="488" t="s">
        <v>380</v>
      </c>
      <c r="C8" s="489"/>
      <c r="D8" s="489"/>
      <c r="E8" s="489"/>
      <c r="F8" s="489"/>
      <c r="G8" s="489"/>
      <c r="H8" s="489"/>
      <c r="I8" s="489"/>
      <c r="J8" s="49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1"/>
      <c r="V8" s="141"/>
    </row>
    <row r="9" spans="2:22" ht="12.75">
      <c r="B9" s="360" t="s">
        <v>381</v>
      </c>
      <c r="C9" s="142"/>
      <c r="D9" s="142"/>
      <c r="E9" s="142"/>
      <c r="F9" s="144"/>
      <c r="G9" s="144"/>
      <c r="H9" s="144"/>
      <c r="I9" s="144"/>
      <c r="J9" s="361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1"/>
      <c r="V9" s="141"/>
    </row>
    <row r="10" spans="2:22" ht="12.75">
      <c r="B10" s="488" t="str">
        <f>'ORÇAMENTARIA GERAL'!B6:F6</f>
        <v>OBRA: CONSTRUÇÃO DA QUADRA DA ESCOLA DONA MARIA AUGUSTA</v>
      </c>
      <c r="C10" s="489"/>
      <c r="D10" s="489"/>
      <c r="E10" s="489"/>
      <c r="F10" s="489"/>
      <c r="G10" s="489"/>
      <c r="H10" s="489"/>
      <c r="I10" s="489"/>
      <c r="J10" s="49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1"/>
      <c r="V10" s="141"/>
    </row>
    <row r="11" spans="2:22" ht="12.75">
      <c r="B11" s="362" t="s">
        <v>382</v>
      </c>
      <c r="C11" s="144"/>
      <c r="D11" s="144"/>
      <c r="E11" s="144"/>
      <c r="F11" s="142"/>
      <c r="G11" s="142"/>
      <c r="H11" s="142"/>
      <c r="I11" s="142"/>
      <c r="J11" s="361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1"/>
      <c r="V11" s="141"/>
    </row>
    <row r="12" spans="2:22" ht="12.75">
      <c r="B12" s="363"/>
      <c r="C12" s="145"/>
      <c r="D12" s="145"/>
      <c r="E12" s="145"/>
      <c r="F12" s="145"/>
      <c r="G12" s="145"/>
      <c r="H12" s="145"/>
      <c r="I12" s="145"/>
      <c r="J12" s="364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1"/>
      <c r="V12" s="141"/>
    </row>
    <row r="13" spans="2:22" ht="12.75">
      <c r="B13" s="360" t="s">
        <v>383</v>
      </c>
      <c r="C13" s="146"/>
      <c r="D13" s="146"/>
      <c r="E13" s="146"/>
      <c r="F13" s="146"/>
      <c r="G13" s="146"/>
      <c r="H13" s="146"/>
      <c r="I13" s="146"/>
      <c r="J13" s="365" t="s">
        <v>384</v>
      </c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1"/>
      <c r="V13" s="141"/>
    </row>
    <row r="14" spans="2:22" ht="12.75">
      <c r="B14" s="366" t="s">
        <v>385</v>
      </c>
      <c r="C14" s="143"/>
      <c r="D14" s="143"/>
      <c r="E14" s="143"/>
      <c r="F14" s="143"/>
      <c r="G14" s="143"/>
      <c r="H14" s="143"/>
      <c r="I14" s="143"/>
      <c r="J14" s="367" t="str">
        <f>'[7]PLANILHA'!N11</f>
        <v>MG</v>
      </c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1"/>
      <c r="V14" s="141"/>
    </row>
    <row r="15" spans="2:22" ht="12.75">
      <c r="B15" s="360" t="s">
        <v>386</v>
      </c>
      <c r="C15" s="146"/>
      <c r="D15" s="146"/>
      <c r="E15" s="146"/>
      <c r="F15" s="146"/>
      <c r="G15" s="146"/>
      <c r="H15" s="146"/>
      <c r="I15" s="146"/>
      <c r="J15" s="365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1"/>
      <c r="V15" s="141"/>
    </row>
    <row r="16" spans="2:22" ht="12.75">
      <c r="B16" s="366"/>
      <c r="C16" s="143"/>
      <c r="D16" s="143"/>
      <c r="E16" s="143"/>
      <c r="F16" s="143"/>
      <c r="G16" s="143"/>
      <c r="H16" s="143"/>
      <c r="I16" s="143"/>
      <c r="J16" s="367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1"/>
      <c r="V16" s="141"/>
    </row>
    <row r="17" spans="2:22" ht="12.75">
      <c r="B17" s="368"/>
      <c r="C17" s="146"/>
      <c r="D17" s="146"/>
      <c r="E17" s="146"/>
      <c r="F17" s="146"/>
      <c r="G17" s="146"/>
      <c r="H17" s="146"/>
      <c r="I17" s="146"/>
      <c r="J17" s="365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1"/>
      <c r="V17" s="141"/>
    </row>
    <row r="18" spans="2:22" ht="12.75">
      <c r="B18" s="534" t="s">
        <v>387</v>
      </c>
      <c r="C18" s="535"/>
      <c r="D18" s="535"/>
      <c r="E18" s="535"/>
      <c r="F18" s="535"/>
      <c r="G18" s="535"/>
      <c r="H18" s="535"/>
      <c r="I18" s="535"/>
      <c r="J18" s="536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1"/>
      <c r="V18" s="141"/>
    </row>
    <row r="19" spans="2:22" ht="12.75" customHeight="1">
      <c r="B19" s="369" t="s">
        <v>388</v>
      </c>
      <c r="C19" s="537" t="s">
        <v>389</v>
      </c>
      <c r="D19" s="538"/>
      <c r="E19" s="538"/>
      <c r="F19" s="538"/>
      <c r="G19" s="538"/>
      <c r="H19" s="539"/>
      <c r="I19" s="543" t="s">
        <v>390</v>
      </c>
      <c r="J19" s="544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1"/>
      <c r="V19" s="141"/>
    </row>
    <row r="20" spans="2:22" ht="12.75" customHeight="1">
      <c r="B20" s="370"/>
      <c r="C20" s="540"/>
      <c r="D20" s="541"/>
      <c r="E20" s="541"/>
      <c r="F20" s="541"/>
      <c r="G20" s="541"/>
      <c r="H20" s="542"/>
      <c r="I20" s="545"/>
      <c r="J20" s="546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1"/>
      <c r="V20" s="141"/>
    </row>
    <row r="21" spans="2:22" ht="12.75">
      <c r="B21" s="371" t="s">
        <v>391</v>
      </c>
      <c r="C21" s="148" t="s">
        <v>392</v>
      </c>
      <c r="D21" s="517">
        <v>0.03</v>
      </c>
      <c r="E21" s="517"/>
      <c r="F21" s="149" t="s">
        <v>393</v>
      </c>
      <c r="G21" s="517">
        <v>0.055</v>
      </c>
      <c r="H21" s="518"/>
      <c r="I21" s="147" t="s">
        <v>391</v>
      </c>
      <c r="J21" s="372">
        <v>0.0425</v>
      </c>
      <c r="K21" s="140"/>
      <c r="L21" s="140"/>
      <c r="M21" s="140"/>
      <c r="N21" s="140">
        <v>0.0425</v>
      </c>
      <c r="O21" s="140"/>
      <c r="P21" s="140"/>
      <c r="Q21" s="140">
        <v>0.03</v>
      </c>
      <c r="R21" s="140"/>
      <c r="S21" s="140"/>
      <c r="T21" s="140"/>
      <c r="U21" s="141"/>
      <c r="V21" s="141"/>
    </row>
    <row r="22" spans="2:22" ht="12.75">
      <c r="B22" s="373" t="s">
        <v>394</v>
      </c>
      <c r="C22" s="151" t="s">
        <v>392</v>
      </c>
      <c r="D22" s="522">
        <v>0.008</v>
      </c>
      <c r="E22" s="522"/>
      <c r="F22" s="152" t="s">
        <v>393</v>
      </c>
      <c r="G22" s="522">
        <v>0.01</v>
      </c>
      <c r="H22" s="523"/>
      <c r="I22" s="150" t="s">
        <v>394</v>
      </c>
      <c r="J22" s="372">
        <v>0.009</v>
      </c>
      <c r="K22" s="140"/>
      <c r="L22" s="140"/>
      <c r="M22" s="140"/>
      <c r="N22" s="140">
        <v>0.009</v>
      </c>
      <c r="O22" s="140"/>
      <c r="P22" s="140"/>
      <c r="Q22" s="140">
        <v>0.008</v>
      </c>
      <c r="R22" s="140"/>
      <c r="S22" s="140"/>
      <c r="T22" s="140"/>
      <c r="U22" s="141"/>
      <c r="V22" s="141"/>
    </row>
    <row r="23" spans="2:22" ht="12.75">
      <c r="B23" s="373" t="s">
        <v>395</v>
      </c>
      <c r="C23" s="151" t="s">
        <v>392</v>
      </c>
      <c r="D23" s="522">
        <v>0.0097</v>
      </c>
      <c r="E23" s="522"/>
      <c r="F23" s="152" t="s">
        <v>393</v>
      </c>
      <c r="G23" s="522">
        <v>0.0127</v>
      </c>
      <c r="H23" s="523"/>
      <c r="I23" s="150" t="s">
        <v>395</v>
      </c>
      <c r="J23" s="372">
        <v>0.0123</v>
      </c>
      <c r="K23" s="140"/>
      <c r="L23" s="140"/>
      <c r="M23" s="140"/>
      <c r="N23" s="140">
        <v>0.0123</v>
      </c>
      <c r="O23" s="140"/>
      <c r="P23" s="140"/>
      <c r="Q23" s="140">
        <v>0.0097</v>
      </c>
      <c r="R23" s="140"/>
      <c r="S23" s="140"/>
      <c r="T23" s="140"/>
      <c r="U23" s="141"/>
      <c r="V23" s="141"/>
    </row>
    <row r="24" spans="2:22" ht="12.75">
      <c r="B24" s="373" t="s">
        <v>396</v>
      </c>
      <c r="C24" s="151" t="s">
        <v>392</v>
      </c>
      <c r="D24" s="522">
        <v>0.0059</v>
      </c>
      <c r="E24" s="522"/>
      <c r="F24" s="152" t="s">
        <v>393</v>
      </c>
      <c r="G24" s="522">
        <v>0.0139</v>
      </c>
      <c r="H24" s="523"/>
      <c r="I24" s="150" t="s">
        <v>396</v>
      </c>
      <c r="J24" s="372">
        <v>0.0095</v>
      </c>
      <c r="K24" s="140"/>
      <c r="L24" s="140"/>
      <c r="M24" s="140"/>
      <c r="N24" s="140">
        <v>0.0095</v>
      </c>
      <c r="O24" s="140"/>
      <c r="P24" s="140"/>
      <c r="Q24" s="140">
        <v>0.0059</v>
      </c>
      <c r="R24" s="140"/>
      <c r="S24" s="140"/>
      <c r="T24" s="140"/>
      <c r="U24" s="141"/>
      <c r="V24" s="141"/>
    </row>
    <row r="25" spans="2:22" ht="12.75">
      <c r="B25" s="373" t="s">
        <v>397</v>
      </c>
      <c r="C25" s="151" t="s">
        <v>392</v>
      </c>
      <c r="D25" s="522">
        <v>0.0616</v>
      </c>
      <c r="E25" s="522"/>
      <c r="F25" s="152" t="s">
        <v>393</v>
      </c>
      <c r="G25" s="522">
        <v>0.0896</v>
      </c>
      <c r="H25" s="523"/>
      <c r="I25" s="150" t="s">
        <v>397</v>
      </c>
      <c r="J25" s="372">
        <v>0.0792</v>
      </c>
      <c r="K25" s="140"/>
      <c r="L25" s="140"/>
      <c r="M25" s="140"/>
      <c r="N25" s="140">
        <v>0.0633</v>
      </c>
      <c r="O25" s="140"/>
      <c r="P25" s="140"/>
      <c r="Q25" s="140">
        <v>0.0616</v>
      </c>
      <c r="R25" s="140"/>
      <c r="S25" s="140"/>
      <c r="T25" s="140"/>
      <c r="U25" s="141"/>
      <c r="V25" s="141"/>
    </row>
    <row r="26" spans="2:22" ht="12.75">
      <c r="B26" s="374" t="s">
        <v>398</v>
      </c>
      <c r="C26" s="151" t="s">
        <v>392</v>
      </c>
      <c r="D26" s="522">
        <v>0.0565</v>
      </c>
      <c r="E26" s="522"/>
      <c r="F26" s="152" t="s">
        <v>393</v>
      </c>
      <c r="G26" s="522">
        <v>0.0865</v>
      </c>
      <c r="H26" s="523"/>
      <c r="I26" s="153" t="s">
        <v>398</v>
      </c>
      <c r="J26" s="372">
        <v>0.0735</v>
      </c>
      <c r="K26" s="140"/>
      <c r="L26" s="140"/>
      <c r="M26" s="140"/>
      <c r="N26" s="140">
        <v>0.0865</v>
      </c>
      <c r="O26" s="140"/>
      <c r="P26" s="140"/>
      <c r="Q26" s="140">
        <v>0.0703</v>
      </c>
      <c r="R26" s="140"/>
      <c r="S26" s="140"/>
      <c r="T26" s="140"/>
      <c r="U26" s="141"/>
      <c r="V26" s="141"/>
    </row>
    <row r="27" spans="2:22" ht="12.75">
      <c r="B27" s="375" t="s">
        <v>399</v>
      </c>
      <c r="C27" s="155"/>
      <c r="D27" s="507">
        <v>0</v>
      </c>
      <c r="E27" s="507"/>
      <c r="F27" s="156" t="s">
        <v>400</v>
      </c>
      <c r="G27" s="507">
        <v>0.045</v>
      </c>
      <c r="H27" s="524"/>
      <c r="I27" s="154" t="s">
        <v>399</v>
      </c>
      <c r="J27" s="372">
        <v>0.045</v>
      </c>
      <c r="K27" s="140"/>
      <c r="L27" s="140">
        <f>IF(OR(J27=0,J27=0.045),0,1)</f>
        <v>0</v>
      </c>
      <c r="M27" s="140"/>
      <c r="N27" s="140">
        <v>0.045</v>
      </c>
      <c r="O27" s="140"/>
      <c r="P27" s="140"/>
      <c r="Q27" s="140">
        <v>0</v>
      </c>
      <c r="R27" s="140"/>
      <c r="S27" s="140"/>
      <c r="T27" s="140"/>
      <c r="U27" s="141"/>
      <c r="V27" s="141"/>
    </row>
    <row r="28" spans="2:22" ht="12.75">
      <c r="B28" s="504" t="s">
        <v>401</v>
      </c>
      <c r="C28" s="505"/>
      <c r="D28" s="505"/>
      <c r="E28" s="505"/>
      <c r="F28" s="505"/>
      <c r="G28" s="505"/>
      <c r="H28" s="505"/>
      <c r="I28" s="505"/>
      <c r="J28" s="506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1"/>
      <c r="V28" s="141"/>
    </row>
    <row r="29" spans="2:22" ht="12.75">
      <c r="B29" s="371" t="s">
        <v>391</v>
      </c>
      <c r="C29" s="514" t="str">
        <f>IF(J21&gt;G21,"Incidência maior que a permitida",IF(J21&lt;D21,"Incidência menor que a permitida","ok"))</f>
        <v>ok</v>
      </c>
      <c r="D29" s="515"/>
      <c r="E29" s="515"/>
      <c r="F29" s="515"/>
      <c r="G29" s="515"/>
      <c r="H29" s="515"/>
      <c r="I29" s="515"/>
      <c r="J29" s="516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1"/>
      <c r="V29" s="141"/>
    </row>
    <row r="30" spans="2:22" ht="12.75">
      <c r="B30" s="373" t="s">
        <v>394</v>
      </c>
      <c r="C30" s="508" t="str">
        <f>IF(J22&gt;G22,"Incidência maior que a permitida",IF(J22&lt;0,"Incidência menor que a permitida","ok"))</f>
        <v>ok</v>
      </c>
      <c r="D30" s="509"/>
      <c r="E30" s="509"/>
      <c r="F30" s="509"/>
      <c r="G30" s="509"/>
      <c r="H30" s="509"/>
      <c r="I30" s="509"/>
      <c r="J30" s="510"/>
      <c r="K30" s="140"/>
      <c r="L30" s="140" t="s">
        <v>402</v>
      </c>
      <c r="M30" s="140" t="s">
        <v>403</v>
      </c>
      <c r="N30" s="140"/>
      <c r="O30" s="140"/>
      <c r="P30" s="140"/>
      <c r="Q30" s="140"/>
      <c r="R30" s="140"/>
      <c r="S30" s="140"/>
      <c r="T30" s="140"/>
      <c r="U30" s="141"/>
      <c r="V30" s="141"/>
    </row>
    <row r="31" spans="2:22" ht="12.75">
      <c r="B31" s="373" t="s">
        <v>395</v>
      </c>
      <c r="C31" s="508" t="str">
        <f>IF(J23&gt;G23,"Incidência maior que a permitida",IF(J23&lt;0,"Incidência menor que a permitida","ok"))</f>
        <v>ok</v>
      </c>
      <c r="D31" s="509"/>
      <c r="E31" s="509"/>
      <c r="F31" s="509"/>
      <c r="G31" s="509"/>
      <c r="H31" s="509"/>
      <c r="I31" s="509"/>
      <c r="J31" s="510"/>
      <c r="K31" s="140"/>
      <c r="L31" s="140">
        <v>0.2646</v>
      </c>
      <c r="M31" s="140">
        <v>0.3148</v>
      </c>
      <c r="N31" s="140"/>
      <c r="O31" s="140"/>
      <c r="P31" s="140"/>
      <c r="Q31" s="140"/>
      <c r="R31" s="140"/>
      <c r="S31" s="140"/>
      <c r="T31" s="140"/>
      <c r="U31" s="141"/>
      <c r="V31" s="141"/>
    </row>
    <row r="32" spans="2:22" ht="12.75">
      <c r="B32" s="373" t="s">
        <v>396</v>
      </c>
      <c r="C32" s="508" t="str">
        <f>IF(J24&gt;G24,"Incidência maior que a permitida",IF(J24&lt;D24,"Incidência menor que a permitida","ok"))</f>
        <v>ok</v>
      </c>
      <c r="D32" s="509"/>
      <c r="E32" s="509"/>
      <c r="F32" s="509"/>
      <c r="G32" s="509"/>
      <c r="H32" s="509"/>
      <c r="I32" s="509"/>
      <c r="J32" s="510"/>
      <c r="K32" s="140"/>
      <c r="L32" s="140">
        <v>0.2034</v>
      </c>
      <c r="M32" s="140">
        <v>0.25</v>
      </c>
      <c r="N32" s="140"/>
      <c r="O32" s="140"/>
      <c r="P32" s="140"/>
      <c r="Q32" s="140"/>
      <c r="R32" s="140"/>
      <c r="S32" s="140"/>
      <c r="T32" s="140"/>
      <c r="U32" s="141"/>
      <c r="V32" s="141"/>
    </row>
    <row r="33" spans="2:22" ht="12.75">
      <c r="B33" s="373" t="s">
        <v>397</v>
      </c>
      <c r="C33" s="508" t="str">
        <f>IF(J25&gt;G25,"Incidência maior que a permitida",IF(J25&lt;D25,"Incidência menor que a permitida","ok"))</f>
        <v>ok</v>
      </c>
      <c r="D33" s="509"/>
      <c r="E33" s="509"/>
      <c r="F33" s="509"/>
      <c r="G33" s="509"/>
      <c r="H33" s="509"/>
      <c r="I33" s="509"/>
      <c r="J33" s="510"/>
      <c r="K33" s="140"/>
      <c r="L33" s="140"/>
      <c r="M33" s="140" t="s">
        <v>758</v>
      </c>
      <c r="N33" s="140"/>
      <c r="O33" s="140"/>
      <c r="P33" s="140"/>
      <c r="Q33" s="140"/>
      <c r="R33" s="140"/>
      <c r="S33" s="140"/>
      <c r="T33" s="140"/>
      <c r="U33" s="141"/>
      <c r="V33" s="141"/>
    </row>
    <row r="34" spans="2:22" ht="12.75">
      <c r="B34" s="374" t="s">
        <v>398</v>
      </c>
      <c r="C34" s="511" t="str">
        <f>IF(J26&gt;G26,"Incidência maior que a permitida",IF(J26&lt;D26,"Incidência menor que a permitida","ok"))</f>
        <v>ok</v>
      </c>
      <c r="D34" s="512"/>
      <c r="E34" s="512"/>
      <c r="F34" s="512"/>
      <c r="G34" s="512"/>
      <c r="H34" s="512"/>
      <c r="I34" s="512"/>
      <c r="J34" s="513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1"/>
      <c r="V34" s="141"/>
    </row>
    <row r="35" spans="2:22" ht="12.75">
      <c r="B35" s="375" t="s">
        <v>399</v>
      </c>
      <c r="C35" s="511" t="str">
        <f>IF(J27=D27,"ok",IF(J27=G27,"ok","Incidência não permitida"))</f>
        <v>ok</v>
      </c>
      <c r="D35" s="512"/>
      <c r="E35" s="512"/>
      <c r="F35" s="512"/>
      <c r="G35" s="512"/>
      <c r="H35" s="512"/>
      <c r="I35" s="512"/>
      <c r="J35" s="513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1"/>
      <c r="V35" s="141"/>
    </row>
    <row r="36" spans="2:22" ht="12.75">
      <c r="B36" s="376" t="s">
        <v>404</v>
      </c>
      <c r="C36" s="482" t="s">
        <v>405</v>
      </c>
      <c r="D36" s="483"/>
      <c r="E36" s="483"/>
      <c r="F36" s="483"/>
      <c r="G36" s="483"/>
      <c r="H36" s="483"/>
      <c r="I36" s="484"/>
      <c r="J36" s="377">
        <f>ROUND(((1+J21+J22+J23)*(1+J24)*(1+J25)/(1-(J26+J27))-1),4)</f>
        <v>0.3148</v>
      </c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1"/>
      <c r="V36" s="141"/>
    </row>
    <row r="37" spans="2:22" ht="12.75">
      <c r="B37" s="368"/>
      <c r="C37" s="519" t="str">
        <f>IF(J27=0.045,IF(AND(J36&gt;=L31,J36&lt;=M31),L30,M30),IF(AND(J36&gt;=L32,J36&lt;=M32),L30,M30))</f>
        <v>BDI ADMISSÍVEL</v>
      </c>
      <c r="D37" s="520"/>
      <c r="E37" s="520"/>
      <c r="F37" s="520"/>
      <c r="G37" s="520"/>
      <c r="H37" s="520"/>
      <c r="I37" s="520"/>
      <c r="J37" s="521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1"/>
      <c r="V37" s="141"/>
    </row>
    <row r="38" spans="2:22" ht="13.5" thickBot="1">
      <c r="B38" s="350"/>
      <c r="C38" s="503"/>
      <c r="D38" s="503"/>
      <c r="E38" s="503"/>
      <c r="F38" s="503"/>
      <c r="G38" s="503"/>
      <c r="H38" s="503"/>
      <c r="I38" s="503"/>
      <c r="J38" s="35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</row>
    <row r="39" spans="2:10" ht="12.75">
      <c r="B39" s="494" t="s">
        <v>741</v>
      </c>
      <c r="C39" s="495"/>
      <c r="D39" s="495"/>
      <c r="E39" s="495"/>
      <c r="F39" s="495"/>
      <c r="G39" s="495"/>
      <c r="H39" s="495"/>
      <c r="I39" s="495"/>
      <c r="J39" s="496"/>
    </row>
    <row r="40" spans="2:10" ht="12.75">
      <c r="B40" s="352" t="s">
        <v>742</v>
      </c>
      <c r="C40" s="497">
        <v>0.05</v>
      </c>
      <c r="D40" s="498"/>
      <c r="E40" s="498"/>
      <c r="F40" s="498"/>
      <c r="G40" s="498"/>
      <c r="H40" s="498"/>
      <c r="I40" s="498"/>
      <c r="J40" s="499"/>
    </row>
    <row r="41" spans="2:10" ht="13.5" thickBot="1">
      <c r="B41" s="353" t="s">
        <v>743</v>
      </c>
      <c r="C41" s="500">
        <v>0.0365</v>
      </c>
      <c r="D41" s="501"/>
      <c r="E41" s="501"/>
      <c r="F41" s="501"/>
      <c r="G41" s="501"/>
      <c r="H41" s="501"/>
      <c r="I41" s="501"/>
      <c r="J41" s="502"/>
    </row>
    <row r="42" spans="2:10" ht="13.5" thickBot="1">
      <c r="B42" s="354"/>
      <c r="C42" s="354"/>
      <c r="D42" s="354"/>
      <c r="E42" s="354"/>
      <c r="F42" s="354"/>
      <c r="G42" s="354"/>
      <c r="H42" s="354"/>
      <c r="I42" s="354"/>
      <c r="J42" s="354"/>
    </row>
    <row r="43" spans="2:10" ht="33.75" customHeight="1" thickBot="1">
      <c r="B43" s="485" t="s">
        <v>744</v>
      </c>
      <c r="C43" s="486"/>
      <c r="D43" s="486"/>
      <c r="E43" s="486"/>
      <c r="F43" s="486"/>
      <c r="G43" s="486"/>
      <c r="H43" s="486"/>
      <c r="I43" s="486"/>
      <c r="J43" s="487"/>
    </row>
  </sheetData>
  <sheetProtection/>
  <mergeCells count="37">
    <mergeCell ref="D22:E22"/>
    <mergeCell ref="G27:H27"/>
    <mergeCell ref="D24:E24"/>
    <mergeCell ref="G24:H24"/>
    <mergeCell ref="B2:J2"/>
    <mergeCell ref="B4:J5"/>
    <mergeCell ref="B18:J18"/>
    <mergeCell ref="C19:H20"/>
    <mergeCell ref="I19:J20"/>
    <mergeCell ref="D21:E21"/>
    <mergeCell ref="G21:H21"/>
    <mergeCell ref="C37:J37"/>
    <mergeCell ref="G22:H22"/>
    <mergeCell ref="D23:E23"/>
    <mergeCell ref="G23:H23"/>
    <mergeCell ref="C33:J33"/>
    <mergeCell ref="D25:E25"/>
    <mergeCell ref="G25:H25"/>
    <mergeCell ref="D26:E26"/>
    <mergeCell ref="G26:H26"/>
    <mergeCell ref="D27:E27"/>
    <mergeCell ref="C30:J30"/>
    <mergeCell ref="C31:J31"/>
    <mergeCell ref="C32:J32"/>
    <mergeCell ref="C34:J34"/>
    <mergeCell ref="C35:J35"/>
    <mergeCell ref="C29:J29"/>
    <mergeCell ref="C36:I36"/>
    <mergeCell ref="B43:J43"/>
    <mergeCell ref="B10:J10"/>
    <mergeCell ref="B8:J8"/>
    <mergeCell ref="B6:J6"/>
    <mergeCell ref="B39:J39"/>
    <mergeCell ref="C40:J40"/>
    <mergeCell ref="C41:J41"/>
    <mergeCell ref="C38:I38"/>
    <mergeCell ref="B28:J28"/>
  </mergeCells>
  <conditionalFormatting sqref="J21:J26">
    <cfRule type="cellIs" priority="1" dxfId="4" operator="notBetween" stopIfTrue="1">
      <formula>D21</formula>
      <formula>G21</formula>
    </cfRule>
  </conditionalFormatting>
  <conditionalFormatting sqref="C29:C35">
    <cfRule type="cellIs" priority="2" dxfId="3" operator="notEqual" stopIfTrue="1">
      <formula>"ok"</formula>
    </cfRule>
  </conditionalFormatting>
  <conditionalFormatting sqref="J27">
    <cfRule type="expression" priority="3" dxfId="2" stopIfTrue="1">
      <formula>$L$27&lt;&gt;0</formula>
    </cfRule>
  </conditionalFormatting>
  <conditionalFormatting sqref="C37:J37">
    <cfRule type="cellIs" priority="4" dxfId="1" operator="equal" stopIfTrue="1">
      <formula>$L$30</formula>
    </cfRule>
    <cfRule type="cellIs" priority="5" dxfId="0" operator="notEqual" stopIfTrue="1">
      <formula>$L$30</formula>
    </cfRule>
  </conditionalFormatting>
  <dataValidations count="2">
    <dataValidation allowBlank="1" showInputMessage="1" showErrorMessage="1" promptTitle="Encargos sociais" prompt="Para encargos sociais desonerados usar 4,5%." sqref="Q27 N27 J27"/>
    <dataValidation allowBlank="1" showInputMessage="1" showErrorMessage="1" promptTitle="Fórmula TCU Acórdão 2622/2013" prompt="Edificações" sqref="C36:I36"/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Maria Araújo Ghieh</dc:creator>
  <cp:keywords/>
  <dc:description/>
  <cp:lastModifiedBy>Laura Maria Araújo Ghieh</cp:lastModifiedBy>
  <cp:lastPrinted>2018-07-24T15:26:07Z</cp:lastPrinted>
  <dcterms:created xsi:type="dcterms:W3CDTF">2018-05-22T11:15:45Z</dcterms:created>
  <dcterms:modified xsi:type="dcterms:W3CDTF">2018-07-24T15:27:48Z</dcterms:modified>
  <cp:category/>
  <cp:version/>
  <cp:contentType/>
  <cp:contentStatus/>
</cp:coreProperties>
</file>